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a\Desktop\AKR\PECC Copy\00 Rev 200623\01 Potencial de mitigacion\Sector Eléctrico\"/>
    </mc:Choice>
  </mc:AlternateContent>
  <xr:revisionPtr revIDLastSave="0" documentId="13_ncr:1_{66D58ACB-BBB0-4A22-8D7F-1B72CA291DCA}" xr6:coauthVersionLast="45" xr6:coauthVersionMax="45" xr10:uidLastSave="{00000000-0000-0000-0000-000000000000}"/>
  <bookViews>
    <workbookView xWindow="20370" yWindow="-120" windowWidth="29040" windowHeight="16440" activeTab="4" xr2:uid="{296A3FC0-ED16-42F9-BD7F-7BAE73B2BA14}"/>
  </bookViews>
  <sheets>
    <sheet name="Aura Solar" sheetId="1" r:id="rId1"/>
    <sheet name="Villa Ahumada Sin Financiamient" sheetId="3" r:id="rId2"/>
    <sheet name="Villa Ahumada con Financiamient" sheetId="4" r:id="rId3"/>
    <sheet name="Villa Ahumada con Financiam (2)" sheetId="5" r:id="rId4"/>
    <sheet name="Especificaciones proy SLP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34" i="5" l="1"/>
  <c r="Z47" i="5" l="1"/>
  <c r="X20" i="5"/>
  <c r="X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41" i="5"/>
  <c r="V61" i="5" l="1"/>
  <c r="V51" i="5"/>
  <c r="V41" i="5"/>
  <c r="Z41" i="5" s="1"/>
  <c r="E16" i="6"/>
  <c r="E25" i="6" s="1"/>
  <c r="E28" i="6" s="1"/>
  <c r="E13" i="6"/>
  <c r="E14" i="6" s="1"/>
  <c r="E30" i="6"/>
  <c r="E29" i="6"/>
  <c r="E24" i="6"/>
  <c r="E6" i="6"/>
  <c r="E36" i="6" s="1"/>
  <c r="E35" i="6"/>
  <c r="E23" i="6" s="1"/>
  <c r="E31" i="6" s="1"/>
  <c r="D34" i="5"/>
  <c r="Y43" i="5"/>
  <c r="Y44" i="5"/>
  <c r="Y51" i="5"/>
  <c r="Y52" i="5"/>
  <c r="Y59" i="5"/>
  <c r="Y60" i="5"/>
  <c r="D29" i="4"/>
  <c r="D28" i="3"/>
  <c r="P41" i="5"/>
  <c r="Q41" i="5" s="1"/>
  <c r="R41" i="5"/>
  <c r="Y41" i="5" s="1"/>
  <c r="P42" i="5"/>
  <c r="R42" i="5"/>
  <c r="Y42" i="5" s="1"/>
  <c r="P43" i="5"/>
  <c r="R43" i="5"/>
  <c r="P44" i="5"/>
  <c r="R44" i="5"/>
  <c r="P45" i="5"/>
  <c r="R45" i="5"/>
  <c r="Y45" i="5" s="1"/>
  <c r="P46" i="5"/>
  <c r="R46" i="5"/>
  <c r="Y46" i="5" s="1"/>
  <c r="P47" i="5"/>
  <c r="R47" i="5"/>
  <c r="Y47" i="5" s="1"/>
  <c r="P48" i="5"/>
  <c r="R48" i="5"/>
  <c r="Y48" i="5" s="1"/>
  <c r="P49" i="5"/>
  <c r="R49" i="5"/>
  <c r="Y49" i="5" s="1"/>
  <c r="P50" i="5"/>
  <c r="R50" i="5"/>
  <c r="Y50" i="5" s="1"/>
  <c r="P51" i="5"/>
  <c r="R51" i="5"/>
  <c r="P52" i="5"/>
  <c r="R52" i="5"/>
  <c r="P53" i="5"/>
  <c r="R53" i="5"/>
  <c r="Y53" i="5" s="1"/>
  <c r="P54" i="5"/>
  <c r="R54" i="5"/>
  <c r="Y54" i="5" s="1"/>
  <c r="P55" i="5"/>
  <c r="R55" i="5"/>
  <c r="Y55" i="5" s="1"/>
  <c r="P56" i="5"/>
  <c r="R56" i="5"/>
  <c r="Y56" i="5" s="1"/>
  <c r="P57" i="5"/>
  <c r="R57" i="5"/>
  <c r="Y57" i="5" s="1"/>
  <c r="P58" i="5"/>
  <c r="R58" i="5"/>
  <c r="Y58" i="5" s="1"/>
  <c r="X42" i="5"/>
  <c r="X43" i="5"/>
  <c r="X44" i="5"/>
  <c r="X45" i="5"/>
  <c r="X46" i="5"/>
  <c r="X47" i="5"/>
  <c r="X48" i="5"/>
  <c r="X49" i="5"/>
  <c r="X50" i="5"/>
  <c r="X51" i="5"/>
  <c r="X52" i="5"/>
  <c r="X53" i="5"/>
  <c r="X54" i="5"/>
  <c r="X55" i="5"/>
  <c r="X56" i="5"/>
  <c r="D18" i="5"/>
  <c r="D29" i="5" s="1"/>
  <c r="D36" i="5"/>
  <c r="D43" i="5"/>
  <c r="S59" i="5"/>
  <c r="S60" i="5"/>
  <c r="P85" i="5"/>
  <c r="P84" i="5"/>
  <c r="P83" i="5"/>
  <c r="P82" i="5"/>
  <c r="P81" i="5"/>
  <c r="P80" i="5"/>
  <c r="P79" i="5"/>
  <c r="P78" i="5"/>
  <c r="P77" i="5"/>
  <c r="P76" i="5"/>
  <c r="P75" i="5"/>
  <c r="P74" i="5"/>
  <c r="P73" i="5"/>
  <c r="P72" i="5"/>
  <c r="P71" i="5"/>
  <c r="P70" i="5"/>
  <c r="P69" i="5"/>
  <c r="P68" i="5"/>
  <c r="E32" i="6" l="1"/>
  <c r="S42" i="5"/>
  <c r="S43" i="5"/>
  <c r="S44" i="5"/>
  <c r="S45" i="5"/>
  <c r="S46" i="5"/>
  <c r="S47" i="5"/>
  <c r="S48" i="5"/>
  <c r="S49" i="5"/>
  <c r="S50" i="5"/>
  <c r="S51" i="5"/>
  <c r="S52" i="5"/>
  <c r="S53" i="5"/>
  <c r="S54" i="5"/>
  <c r="S55" i="5"/>
  <c r="S56" i="5"/>
  <c r="S57" i="5"/>
  <c r="S58" i="5"/>
  <c r="S41" i="5"/>
  <c r="G34" i="4"/>
  <c r="D45" i="5"/>
  <c r="S61" i="5" l="1"/>
  <c r="D65" i="4"/>
  <c r="D66" i="4"/>
  <c r="D64" i="4"/>
  <c r="E62" i="4"/>
  <c r="E61" i="4"/>
  <c r="E60" i="4"/>
  <c r="D40" i="5"/>
  <c r="O66" i="5"/>
  <c r="R85" i="5"/>
  <c r="R84" i="5"/>
  <c r="R83" i="5"/>
  <c r="R82" i="5"/>
  <c r="R81" i="5"/>
  <c r="R80" i="5"/>
  <c r="R79" i="5"/>
  <c r="R78" i="5"/>
  <c r="R77" i="5"/>
  <c r="R76" i="5"/>
  <c r="R75" i="5"/>
  <c r="R74" i="5"/>
  <c r="R73" i="5"/>
  <c r="R72" i="5"/>
  <c r="R71" i="5"/>
  <c r="R70" i="5"/>
  <c r="R69" i="5"/>
  <c r="R68" i="5"/>
  <c r="Q68" i="5"/>
  <c r="O37" i="5"/>
  <c r="D32" i="5"/>
  <c r="D28" i="5"/>
  <c r="D27" i="5"/>
  <c r="D21" i="5"/>
  <c r="K13" i="5"/>
  <c r="L14" i="5" s="1"/>
  <c r="D23" i="5" s="1"/>
  <c r="D26" i="5" s="1"/>
  <c r="D10" i="5"/>
  <c r="D11" i="5" s="1"/>
  <c r="D39" i="5" s="1"/>
  <c r="D8" i="5"/>
  <c r="D27" i="4"/>
  <c r="D28" i="4"/>
  <c r="D10" i="4"/>
  <c r="D11" i="4" s="1"/>
  <c r="M80" i="4"/>
  <c r="P64" i="4"/>
  <c r="P63" i="4"/>
  <c r="P65" i="4"/>
  <c r="P66" i="4"/>
  <c r="P67" i="4"/>
  <c r="P68" i="4"/>
  <c r="P69" i="4"/>
  <c r="P70" i="4"/>
  <c r="P71" i="4"/>
  <c r="P72" i="4"/>
  <c r="P73" i="4"/>
  <c r="P74" i="4"/>
  <c r="P75" i="4"/>
  <c r="P76" i="4"/>
  <c r="P77" i="4"/>
  <c r="P78" i="4"/>
  <c r="P79" i="4"/>
  <c r="P62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O62" i="4" s="1"/>
  <c r="N50" i="4"/>
  <c r="N51" i="4"/>
  <c r="N52" i="4"/>
  <c r="N53" i="4"/>
  <c r="N54" i="4"/>
  <c r="N55" i="4"/>
  <c r="N56" i="4"/>
  <c r="N57" i="4"/>
  <c r="N58" i="4"/>
  <c r="N49" i="4"/>
  <c r="N48" i="4"/>
  <c r="N47" i="4"/>
  <c r="N46" i="4"/>
  <c r="N45" i="4"/>
  <c r="N44" i="4"/>
  <c r="N43" i="4"/>
  <c r="N42" i="4"/>
  <c r="N41" i="4"/>
  <c r="O41" i="4" s="1"/>
  <c r="D32" i="4"/>
  <c r="D34" i="4" s="1"/>
  <c r="D21" i="4"/>
  <c r="K13" i="4"/>
  <c r="L14" i="4" s="1"/>
  <c r="D23" i="4" s="1"/>
  <c r="D26" i="4" s="1"/>
  <c r="D8" i="4"/>
  <c r="D18" i="4" s="1"/>
  <c r="D30" i="4" s="1"/>
  <c r="D35" i="3"/>
  <c r="D31" i="3"/>
  <c r="D33" i="3" s="1"/>
  <c r="D25" i="3"/>
  <c r="D20" i="3"/>
  <c r="D10" i="3"/>
  <c r="D11" i="3" s="1"/>
  <c r="D8" i="3"/>
  <c r="D18" i="3" s="1"/>
  <c r="D29" i="3" s="1"/>
  <c r="D36" i="3" s="1"/>
  <c r="J35" i="1"/>
  <c r="J31" i="1"/>
  <c r="J33" i="1" s="1"/>
  <c r="J20" i="1"/>
  <c r="J25" i="1"/>
  <c r="J10" i="1"/>
  <c r="J11" i="1" s="1"/>
  <c r="J8" i="1"/>
  <c r="J18" i="1" s="1"/>
  <c r="J28" i="1" s="1"/>
  <c r="J29" i="1" s="1"/>
  <c r="J36" i="1" s="1"/>
  <c r="D25" i="1"/>
  <c r="D10" i="1"/>
  <c r="D11" i="1" s="1"/>
  <c r="D33" i="1" s="1"/>
  <c r="D8" i="1"/>
  <c r="D18" i="1" s="1"/>
  <c r="D28" i="1" s="1"/>
  <c r="D29" i="1" s="1"/>
  <c r="E62" i="1"/>
  <c r="E61" i="1"/>
  <c r="E60" i="1"/>
  <c r="E59" i="1"/>
  <c r="E58" i="1"/>
  <c r="E57" i="1"/>
  <c r="E56" i="1"/>
  <c r="E55" i="1"/>
  <c r="E54" i="1"/>
  <c r="F54" i="1" s="1"/>
  <c r="E44" i="1"/>
  <c r="E45" i="1"/>
  <c r="E46" i="1"/>
  <c r="E47" i="1"/>
  <c r="E48" i="1"/>
  <c r="E49" i="1"/>
  <c r="E50" i="1"/>
  <c r="E51" i="1"/>
  <c r="E43" i="1"/>
  <c r="F43" i="1" s="1"/>
  <c r="F63" i="1"/>
  <c r="G62" i="1" s="1"/>
  <c r="D52" i="1"/>
  <c r="D42" i="5" l="1"/>
  <c r="G34" i="5" s="1"/>
  <c r="T44" i="5"/>
  <c r="U44" i="5" s="1"/>
  <c r="T52" i="5"/>
  <c r="U52" i="5" s="1"/>
  <c r="T42" i="5"/>
  <c r="U42" i="5" s="1"/>
  <c r="T45" i="5"/>
  <c r="U45" i="5" s="1"/>
  <c r="T53" i="5"/>
  <c r="U53" i="5" s="1"/>
  <c r="T46" i="5"/>
  <c r="U46" i="5" s="1"/>
  <c r="T54" i="5"/>
  <c r="U54" i="5" s="1"/>
  <c r="T50" i="5"/>
  <c r="U50" i="5" s="1"/>
  <c r="T43" i="5"/>
  <c r="U43" i="5" s="1"/>
  <c r="T51" i="5"/>
  <c r="U51" i="5" s="1"/>
  <c r="T47" i="5"/>
  <c r="U47" i="5" s="1"/>
  <c r="T41" i="5"/>
  <c r="T55" i="5"/>
  <c r="U55" i="5" s="1"/>
  <c r="T48" i="5"/>
  <c r="U48" i="5" s="1"/>
  <c r="T49" i="5"/>
  <c r="U49" i="5" s="1"/>
  <c r="T57" i="5"/>
  <c r="U57" i="5" s="1"/>
  <c r="T58" i="5"/>
  <c r="U58" i="5" s="1"/>
  <c r="T56" i="5"/>
  <c r="U56" i="5" s="1"/>
  <c r="T59" i="5"/>
  <c r="U59" i="5" s="1"/>
  <c r="T60" i="5"/>
  <c r="U60" i="5" s="1"/>
  <c r="W43" i="5"/>
  <c r="Z43" i="5" s="1"/>
  <c r="W51" i="5"/>
  <c r="Z51" i="5" s="1"/>
  <c r="W59" i="5"/>
  <c r="W56" i="5"/>
  <c r="Z56" i="5" s="1"/>
  <c r="W44" i="5"/>
  <c r="Z44" i="5" s="1"/>
  <c r="W52" i="5"/>
  <c r="Z52" i="5" s="1"/>
  <c r="AA52" i="5" s="1"/>
  <c r="W60" i="5"/>
  <c r="W47" i="5"/>
  <c r="W58" i="5"/>
  <c r="W45" i="5"/>
  <c r="Z45" i="5" s="1"/>
  <c r="W53" i="5"/>
  <c r="Z53" i="5" s="1"/>
  <c r="W42" i="5"/>
  <c r="Z42" i="5" s="1"/>
  <c r="W57" i="5"/>
  <c r="W46" i="5"/>
  <c r="Z46" i="5" s="1"/>
  <c r="W54" i="5"/>
  <c r="Z54" i="5" s="1"/>
  <c r="W55" i="5"/>
  <c r="W48" i="5"/>
  <c r="Z48" i="5" s="1"/>
  <c r="W49" i="5"/>
  <c r="Z49" i="5" s="1"/>
  <c r="W50" i="5"/>
  <c r="Z50" i="5" s="1"/>
  <c r="D46" i="5"/>
  <c r="R61" i="5"/>
  <c r="O69" i="5"/>
  <c r="Q69" i="5" s="1"/>
  <c r="R86" i="5"/>
  <c r="K15" i="5"/>
  <c r="L15" i="5" s="1"/>
  <c r="D30" i="5"/>
  <c r="O42" i="5"/>
  <c r="Q42" i="5" s="1"/>
  <c r="D37" i="4"/>
  <c r="D36" i="4"/>
  <c r="P80" i="4"/>
  <c r="M63" i="4"/>
  <c r="K15" i="4"/>
  <c r="L15" i="4" s="1"/>
  <c r="D36" i="1"/>
  <c r="D35" i="1"/>
  <c r="G61" i="1"/>
  <c r="G60" i="1"/>
  <c r="G59" i="1"/>
  <c r="G58" i="1"/>
  <c r="D63" i="1"/>
  <c r="G57" i="1"/>
  <c r="G56" i="1"/>
  <c r="G54" i="1"/>
  <c r="D55" i="1" s="1"/>
  <c r="F55" i="1" s="1"/>
  <c r="G55" i="1"/>
  <c r="AA50" i="5" l="1"/>
  <c r="Z55" i="5"/>
  <c r="AA55" i="5" s="1"/>
  <c r="AA47" i="5"/>
  <c r="AA49" i="5"/>
  <c r="AA43" i="5"/>
  <c r="AA44" i="5"/>
  <c r="AA42" i="5"/>
  <c r="AA45" i="5"/>
  <c r="AA51" i="5"/>
  <c r="AA54" i="5"/>
  <c r="AA46" i="5"/>
  <c r="AA53" i="5"/>
  <c r="W61" i="5"/>
  <c r="U41" i="5"/>
  <c r="U61" i="5" s="1"/>
  <c r="T61" i="5"/>
  <c r="AA48" i="5"/>
  <c r="X57" i="5"/>
  <c r="X58" i="5"/>
  <c r="X59" i="5"/>
  <c r="X60" i="5"/>
  <c r="Z60" i="5" s="1"/>
  <c r="AA60" i="5" s="1"/>
  <c r="D37" i="5"/>
  <c r="O70" i="5"/>
  <c r="O63" i="4"/>
  <c r="G63" i="1"/>
  <c r="D56" i="1"/>
  <c r="F56" i="1" s="1"/>
  <c r="D57" i="1" s="1"/>
  <c r="M33" i="1"/>
  <c r="M10" i="1"/>
  <c r="S34" i="1"/>
  <c r="R34" i="1"/>
  <c r="R36" i="1" s="1"/>
  <c r="S36" i="1" s="1"/>
  <c r="Z59" i="5" l="1"/>
  <c r="AA59" i="5" s="1"/>
  <c r="Z57" i="5"/>
  <c r="AA57" i="5" s="1"/>
  <c r="Z58" i="5"/>
  <c r="AA58" i="5" s="1"/>
  <c r="X61" i="5"/>
  <c r="AA41" i="5"/>
  <c r="AB41" i="5" s="1"/>
  <c r="AB42" i="5" s="1"/>
  <c r="AB43" i="5" s="1"/>
  <c r="AB44" i="5" s="1"/>
  <c r="AB45" i="5" s="1"/>
  <c r="AB46" i="5" s="1"/>
  <c r="AB47" i="5" s="1"/>
  <c r="AB48" i="5" s="1"/>
  <c r="AB49" i="5" s="1"/>
  <c r="AB50" i="5" s="1"/>
  <c r="AB51" i="5" s="1"/>
  <c r="AB52" i="5" s="1"/>
  <c r="AB53" i="5" s="1"/>
  <c r="AB54" i="5" s="1"/>
  <c r="AB55" i="5" s="1"/>
  <c r="Q70" i="5"/>
  <c r="O43" i="5"/>
  <c r="Q43" i="5" s="1"/>
  <c r="M64" i="4"/>
  <c r="O64" i="4" s="1"/>
  <c r="M65" i="4" s="1"/>
  <c r="O65" i="4" s="1"/>
  <c r="M66" i="4" s="1"/>
  <c r="F57" i="1"/>
  <c r="D58" i="1" s="1"/>
  <c r="S35" i="1"/>
  <c r="T33" i="1" s="1"/>
  <c r="AB56" i="5" l="1"/>
  <c r="AB57" i="5" s="1"/>
  <c r="AB58" i="5" s="1"/>
  <c r="AB59" i="5" s="1"/>
  <c r="AB60" i="5" s="1"/>
  <c r="AA56" i="5"/>
  <c r="Z61" i="5"/>
  <c r="AA61" i="5" s="1"/>
  <c r="AB61" i="5" s="1"/>
  <c r="O71" i="5"/>
  <c r="O66" i="4"/>
  <c r="M67" i="4" s="1"/>
  <c r="F58" i="1"/>
  <c r="D59" i="1" s="1"/>
  <c r="O44" i="5" l="1"/>
  <c r="Q71" i="5"/>
  <c r="O72" i="5" s="1"/>
  <c r="O67" i="4"/>
  <c r="M68" i="4" s="1"/>
  <c r="F59" i="1"/>
  <c r="D60" i="1" s="1"/>
  <c r="Q44" i="5" l="1"/>
  <c r="O45" i="5" s="1"/>
  <c r="Q72" i="5"/>
  <c r="O73" i="5" s="1"/>
  <c r="O68" i="4"/>
  <c r="M69" i="4" s="1"/>
  <c r="F60" i="1"/>
  <c r="D61" i="1" s="1"/>
  <c r="Q45" i="5" l="1"/>
  <c r="O46" i="5" s="1"/>
  <c r="Q46" i="5" s="1"/>
  <c r="Q73" i="5"/>
  <c r="O74" i="5" s="1"/>
  <c r="O69" i="4"/>
  <c r="M70" i="4" s="1"/>
  <c r="F61" i="1"/>
  <c r="D62" i="1" s="1"/>
  <c r="F62" i="1" s="1"/>
  <c r="H54" i="1" s="1"/>
  <c r="O47" i="5" l="1"/>
  <c r="Q74" i="5"/>
  <c r="O75" i="5" s="1"/>
  <c r="O70" i="4"/>
  <c r="M71" i="4" s="1"/>
  <c r="G45" i="1"/>
  <c r="G46" i="1"/>
  <c r="G44" i="1"/>
  <c r="G49" i="1"/>
  <c r="G50" i="1"/>
  <c r="G48" i="1"/>
  <c r="G51" i="1"/>
  <c r="G43" i="1"/>
  <c r="G65" i="1" s="1"/>
  <c r="G47" i="1"/>
  <c r="Q47" i="5" l="1"/>
  <c r="O48" i="5" s="1"/>
  <c r="Q48" i="5" s="1"/>
  <c r="Q75" i="5"/>
  <c r="O76" i="5" s="1"/>
  <c r="O71" i="4"/>
  <c r="M72" i="4" s="1"/>
  <c r="D44" i="1"/>
  <c r="F44" i="1" s="1"/>
  <c r="G52" i="1"/>
  <c r="O49" i="5" l="1"/>
  <c r="Q49" i="5" s="1"/>
  <c r="Q76" i="5"/>
  <c r="O77" i="5" s="1"/>
  <c r="O72" i="4"/>
  <c r="M73" i="4" s="1"/>
  <c r="D45" i="1"/>
  <c r="O50" i="5" l="1"/>
  <c r="Q50" i="5" s="1"/>
  <c r="Q77" i="5"/>
  <c r="O78" i="5" s="1"/>
  <c r="O73" i="4"/>
  <c r="M74" i="4" s="1"/>
  <c r="F45" i="1"/>
  <c r="O51" i="5" l="1"/>
  <c r="Q78" i="5"/>
  <c r="O79" i="5" s="1"/>
  <c r="O74" i="4"/>
  <c r="M75" i="4" s="1"/>
  <c r="D46" i="1"/>
  <c r="F46" i="1" s="1"/>
  <c r="Q51" i="5" l="1"/>
  <c r="O52" i="5" s="1"/>
  <c r="Q52" i="5" s="1"/>
  <c r="Q79" i="5"/>
  <c r="O80" i="5" s="1"/>
  <c r="O75" i="4"/>
  <c r="M76" i="4" s="1"/>
  <c r="D47" i="1"/>
  <c r="O53" i="5" l="1"/>
  <c r="Q53" i="5" s="1"/>
  <c r="Q80" i="5"/>
  <c r="O81" i="5" s="1"/>
  <c r="O76" i="4"/>
  <c r="M77" i="4" s="1"/>
  <c r="F47" i="1"/>
  <c r="D48" i="1" s="1"/>
  <c r="F48" i="1" s="1"/>
  <c r="D49" i="1" s="1"/>
  <c r="O54" i="5" l="1"/>
  <c r="Q54" i="5" s="1"/>
  <c r="Q81" i="5"/>
  <c r="O82" i="5" s="1"/>
  <c r="O77" i="4"/>
  <c r="M78" i="4" s="1"/>
  <c r="F49" i="1"/>
  <c r="D50" i="1" s="1"/>
  <c r="F50" i="1" s="1"/>
  <c r="D51" i="1" s="1"/>
  <c r="F51" i="1" s="1"/>
  <c r="H43" i="1" s="1"/>
  <c r="H65" i="1" s="1"/>
  <c r="P48" i="4"/>
  <c r="P55" i="4"/>
  <c r="P47" i="4"/>
  <c r="P54" i="4"/>
  <c r="P46" i="4"/>
  <c r="P45" i="4"/>
  <c r="P44" i="4"/>
  <c r="P56" i="4"/>
  <c r="P53" i="4"/>
  <c r="P52" i="4"/>
  <c r="P51" i="4"/>
  <c r="P43" i="4"/>
  <c r="P57" i="4"/>
  <c r="P58" i="4"/>
  <c r="P50" i="4"/>
  <c r="P42" i="4"/>
  <c r="P49" i="4"/>
  <c r="P41" i="4"/>
  <c r="M42" i="4" s="1"/>
  <c r="O42" i="4" s="1"/>
  <c r="M59" i="4"/>
  <c r="O55" i="5" l="1"/>
  <c r="Q55" i="5" s="1"/>
  <c r="Q82" i="5"/>
  <c r="O83" i="5" s="1"/>
  <c r="O78" i="4"/>
  <c r="M79" i="4" s="1"/>
  <c r="P59" i="4"/>
  <c r="M43" i="4"/>
  <c r="O56" i="5" l="1"/>
  <c r="Q83" i="5"/>
  <c r="O84" i="5" s="1"/>
  <c r="O79" i="4"/>
  <c r="Q62" i="4" s="1"/>
  <c r="O43" i="4"/>
  <c r="M44" i="4" s="1"/>
  <c r="Q56" i="5" l="1"/>
  <c r="O57" i="5" s="1"/>
  <c r="Q84" i="5"/>
  <c r="O85" i="5" s="1"/>
  <c r="Q79" i="4"/>
  <c r="O44" i="4"/>
  <c r="M45" i="4" s="1"/>
  <c r="Q57" i="5" l="1"/>
  <c r="O58" i="5"/>
  <c r="Q58" i="5" s="1"/>
  <c r="Q85" i="5"/>
  <c r="R66" i="5" s="1"/>
  <c r="O45" i="4"/>
  <c r="O86" i="5" l="1"/>
  <c r="O59" i="5"/>
  <c r="Q61" i="5"/>
  <c r="R37" i="5"/>
  <c r="M46" i="4"/>
  <c r="O46" i="4" l="1"/>
  <c r="M47" i="4" s="1"/>
  <c r="O47" i="4" l="1"/>
  <c r="M48" i="4" s="1"/>
  <c r="O48" i="4" l="1"/>
  <c r="M49" i="4" s="1"/>
  <c r="O49" i="4" l="1"/>
  <c r="M50" i="4" s="1"/>
  <c r="O50" i="4" l="1"/>
  <c r="M51" i="4" s="1"/>
  <c r="O51" i="4" l="1"/>
  <c r="M52" i="4" s="1"/>
  <c r="O52" i="4" l="1"/>
  <c r="M53" i="4" s="1"/>
  <c r="O53" i="4" l="1"/>
  <c r="M54" i="4" s="1"/>
  <c r="O54" i="4" l="1"/>
  <c r="M55" i="4" s="1"/>
  <c r="O55" i="4" l="1"/>
  <c r="M56" i="4" s="1"/>
  <c r="O56" i="4" l="1"/>
  <c r="M57" i="4" s="1"/>
  <c r="O57" i="4" l="1"/>
  <c r="M58" i="4" s="1"/>
  <c r="O58" i="4" l="1"/>
  <c r="Q41" i="4" s="1"/>
  <c r="Q58" i="4" l="1"/>
</calcChain>
</file>

<file path=xl/sharedStrings.xml><?xml version="1.0" encoding="utf-8"?>
<sst xmlns="http://schemas.openxmlformats.org/spreadsheetml/2006/main" count="805" uniqueCount="130">
  <si>
    <t>ha</t>
  </si>
  <si>
    <t>USD/kW/yr</t>
  </si>
  <si>
    <t>Inversión</t>
  </si>
  <si>
    <t>USD</t>
  </si>
  <si>
    <t>Operación y Mantenimiento</t>
  </si>
  <si>
    <t>Potencia instalada</t>
  </si>
  <si>
    <t>MW</t>
  </si>
  <si>
    <t>kW</t>
  </si>
  <si>
    <t>Generación</t>
  </si>
  <si>
    <t>Horas solar pico</t>
  </si>
  <si>
    <t>USD/yr</t>
  </si>
  <si>
    <t>h/day</t>
  </si>
  <si>
    <t>Vida útil de proyecto</t>
  </si>
  <si>
    <t>años</t>
  </si>
  <si>
    <t>Monto de financiamiento</t>
  </si>
  <si>
    <t>Plazo del financiamiento</t>
  </si>
  <si>
    <t>Tasa de descuento</t>
  </si>
  <si>
    <t xml:space="preserve">Precio de la energía </t>
  </si>
  <si>
    <t>Numero de paneles</t>
  </si>
  <si>
    <t>W</t>
  </si>
  <si>
    <t>%</t>
  </si>
  <si>
    <t>USD/MWh</t>
  </si>
  <si>
    <t>Ventas de energía</t>
  </si>
  <si>
    <t xml:space="preserve">Período de recuperación </t>
  </si>
  <si>
    <t>Costo de instalación</t>
  </si>
  <si>
    <t>USD/W</t>
  </si>
  <si>
    <t>Período de construcción</t>
  </si>
  <si>
    <t>Tipo de cambio</t>
  </si>
  <si>
    <t xml:space="preserve">CASO DE ESTUDIO </t>
  </si>
  <si>
    <t>AURA SOLAR 1</t>
  </si>
  <si>
    <t>Inicio de operaciones</t>
  </si>
  <si>
    <t>Fecha</t>
  </si>
  <si>
    <t>Emisiones evitadas</t>
  </si>
  <si>
    <r>
      <t>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/año</t>
    </r>
  </si>
  <si>
    <t>Potencia del panel</t>
  </si>
  <si>
    <t>Villa Ahumada</t>
  </si>
  <si>
    <t>Superficie</t>
  </si>
  <si>
    <t>MXP/USD</t>
  </si>
  <si>
    <t>SLP 1/2017</t>
  </si>
  <si>
    <t>https://www.proyectosmexico.gob.mx/proyecto_inversion/708-cenace-subasta-electrica-de-largo-plazo-2017-villa-ahumada/</t>
  </si>
  <si>
    <t>https://www.somosindustria.com/articulo/invierte-engie-en-mexico/</t>
  </si>
  <si>
    <t xml:space="preserve">   https://www.inframationgroup.com/engie-signs-financing-mexican-renewable-portfolio</t>
  </si>
  <si>
    <t>Equity</t>
  </si>
  <si>
    <t>Loan</t>
  </si>
  <si>
    <t>http://www.aurasolar.com.mx/aura-solar-i.html</t>
  </si>
  <si>
    <t>│</t>
  </si>
  <si>
    <t>Tipo de contrato</t>
  </si>
  <si>
    <t>Tarifa</t>
  </si>
  <si>
    <t>Costo Total Corto Plazo del Nodo La Paz</t>
  </si>
  <si>
    <t>MXP/MWh</t>
  </si>
  <si>
    <t>GWh/yr</t>
  </si>
  <si>
    <t>MWh/yr</t>
  </si>
  <si>
    <t>Costo total de financiamiento</t>
  </si>
  <si>
    <t>Total de operación y mtto</t>
  </si>
  <si>
    <t>CAPEX + OPEX</t>
  </si>
  <si>
    <t>Costo de capital propio</t>
  </si>
  <si>
    <t>yr</t>
  </si>
  <si>
    <t>Certificados de energía limpia</t>
  </si>
  <si>
    <t>Capital propio</t>
  </si>
  <si>
    <t>Pequeña Producción de Energía Eléctrica</t>
  </si>
  <si>
    <t>│
│</t>
  </si>
  <si>
    <t>Contrato: SLP2017010117-002</t>
  </si>
  <si>
    <t>CEL/yr</t>
  </si>
  <si>
    <t>Calc</t>
  </si>
  <si>
    <t>GIZ</t>
  </si>
  <si>
    <t>Gen 15 CEL 20</t>
  </si>
  <si>
    <t>https://www.cenace.gob.mx/Docs/05_SLP/2017/57%20Aviso%20FAP%20Compradores%20Potenciales%20y%20Licitantes%20v%2029%2011%202017%20.pdf</t>
  </si>
  <si>
    <t>Incluidos en paquete</t>
  </si>
  <si>
    <t xml:space="preserve">MW </t>
  </si>
  <si>
    <t>Trompezón solar park</t>
  </si>
  <si>
    <t>MUSD</t>
  </si>
  <si>
    <t>Site</t>
  </si>
  <si>
    <t>Tres Mesas 3 wind farm</t>
  </si>
  <si>
    <t>Tres Mesas 4 wind farm</t>
  </si>
  <si>
    <t>Abril 99 solar project</t>
  </si>
  <si>
    <t>Calpulalpán solar project</t>
  </si>
  <si>
    <t>Villa Ahumada solar park</t>
  </si>
  <si>
    <t>Total investment</t>
  </si>
  <si>
    <t>Plazo (años)</t>
  </si>
  <si>
    <t>más tiempo de construcción</t>
  </si>
  <si>
    <t>Cáculo de Generación</t>
  </si>
  <si>
    <t>Unidades</t>
  </si>
  <si>
    <t>Valores</t>
  </si>
  <si>
    <t>MWp</t>
  </si>
  <si>
    <t>kWp</t>
  </si>
  <si>
    <t>Date</t>
  </si>
  <si>
    <t>Período de venta de energía</t>
  </si>
  <si>
    <t>Período de venta de CELs</t>
  </si>
  <si>
    <t>Generación no comprometida</t>
  </si>
  <si>
    <t>Generación al final de contrato</t>
  </si>
  <si>
    <t>Precio de la energía (aprox)</t>
  </si>
  <si>
    <t>Ventas de excedente de energía</t>
  </si>
  <si>
    <t>Ventas de energía últimos 5 yr</t>
  </si>
  <si>
    <t>Tasa Operación y Mantenimiento</t>
  </si>
  <si>
    <t>https://www.inframationgroup.com/engie-signs-financing-mexican-renewable-portfolio</t>
  </si>
  <si>
    <t>Million of USD</t>
  </si>
  <si>
    <t>Año</t>
  </si>
  <si>
    <t>Saldo Insoluto</t>
  </si>
  <si>
    <t>Tasa</t>
  </si>
  <si>
    <t>Interés</t>
  </si>
  <si>
    <t>Pago Anual</t>
  </si>
  <si>
    <t>Columna1</t>
  </si>
  <si>
    <t>USD/kWh</t>
  </si>
  <si>
    <t>MXP/kWh</t>
  </si>
  <si>
    <t>40 MW</t>
  </si>
  <si>
    <t>Solar en el techo</t>
  </si>
  <si>
    <t>MeM</t>
  </si>
  <si>
    <t>no viable</t>
  </si>
  <si>
    <t>Inquilinos</t>
  </si>
  <si>
    <t>Demasiadas facturas, muy alto riesgo por impago</t>
  </si>
  <si>
    <t>Privados: metro</t>
  </si>
  <si>
    <t>PPA</t>
  </si>
  <si>
    <t>Pago a Financiera</t>
  </si>
  <si>
    <t>Auxiliares de cálculo</t>
  </si>
  <si>
    <t>TOTALES</t>
  </si>
  <si>
    <t>Financiamiento</t>
  </si>
  <si>
    <t>Ingresos</t>
  </si>
  <si>
    <t>por SLP</t>
  </si>
  <si>
    <t>por excedentes</t>
  </si>
  <si>
    <t>Egresos</t>
  </si>
  <si>
    <t>CAPEX</t>
  </si>
  <si>
    <t>OPEX</t>
  </si>
  <si>
    <t>Totales</t>
  </si>
  <si>
    <t>Otros Gastos</t>
  </si>
  <si>
    <t>Balance</t>
  </si>
  <si>
    <t>Acumulado</t>
  </si>
  <si>
    <t>Subasta de Largo Plazo</t>
  </si>
  <si>
    <t>Concepto</t>
  </si>
  <si>
    <t>Valor</t>
  </si>
  <si>
    <t>GDBT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</si>
</sst>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.0_-;\-* #,##0.0_-;_-* &quot;-&quot;??_-;_-@_-"/>
    <numFmt numFmtId="166" formatCode="_-* #,##0_-;\-* #,##0_-;_-* &quot;-&quot;??_-;_-@_-"/>
    <numFmt numFmtId="167" formatCode="0.0000"/>
    <numFmt numFmtId="168" formatCode="0.0%"/>
    <numFmt numFmtId="169" formatCode="_-* #,##0.0000_-;\-* #,##0.00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rgb="FF444444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  <font>
      <b/>
      <sz val="11"/>
      <color theme="9" tint="0.59999389629810485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49998474074526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9" tint="0.59996337778862885"/>
      </left>
      <right style="thin">
        <color theme="9" tint="0.59996337778862885"/>
      </right>
      <top style="thin">
        <color theme="9" tint="0.59996337778862885"/>
      </top>
      <bottom style="thin">
        <color theme="9" tint="0.59996337778862885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9" tint="0.59996337778862885"/>
      </left>
      <right style="thin">
        <color theme="9" tint="0.59996337778862885"/>
      </right>
      <top style="thin">
        <color theme="9" tint="0.59996337778862885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22">
    <xf numFmtId="0" fontId="0" fillId="0" borderId="0" xfId="0"/>
    <xf numFmtId="43" fontId="0" fillId="0" borderId="0" xfId="1" applyFont="1"/>
    <xf numFmtId="43" fontId="0" fillId="0" borderId="0" xfId="0" applyNumberFormat="1"/>
    <xf numFmtId="44" fontId="0" fillId="0" borderId="0" xfId="2" applyFont="1"/>
    <xf numFmtId="2" fontId="0" fillId="0" borderId="0" xfId="0" applyNumberFormat="1"/>
    <xf numFmtId="1" fontId="0" fillId="0" borderId="0" xfId="0" applyNumberFormat="1"/>
    <xf numFmtId="0" fontId="0" fillId="0" borderId="0" xfId="0" applyBorder="1"/>
    <xf numFmtId="165" fontId="0" fillId="0" borderId="0" xfId="1" applyNumberFormat="1" applyFont="1"/>
    <xf numFmtId="166" fontId="0" fillId="0" borderId="0" xfId="1" applyNumberFormat="1" applyFont="1"/>
    <xf numFmtId="0" fontId="0" fillId="0" borderId="0" xfId="0" applyFill="1" applyBorder="1"/>
    <xf numFmtId="0" fontId="0" fillId="2" borderId="0" xfId="0" applyFill="1"/>
    <xf numFmtId="0" fontId="0" fillId="0" borderId="0" xfId="0" applyAlignment="1">
      <alignment horizontal="center"/>
    </xf>
    <xf numFmtId="0" fontId="3" fillId="0" borderId="0" xfId="0" applyFont="1"/>
    <xf numFmtId="44" fontId="0" fillId="0" borderId="0" xfId="0" applyNumberFormat="1"/>
    <xf numFmtId="14" fontId="0" fillId="0" borderId="0" xfId="0" applyNumberFormat="1"/>
    <xf numFmtId="0" fontId="4" fillId="0" borderId="0" xfId="4"/>
    <xf numFmtId="9" fontId="0" fillId="0" borderId="0" xfId="3" applyFont="1"/>
    <xf numFmtId="0" fontId="5" fillId="0" borderId="0" xfId="0" applyFont="1" applyAlignment="1">
      <alignment horizontal="center" vertical="center"/>
    </xf>
    <xf numFmtId="167" fontId="0" fillId="0" borderId="0" xfId="0" applyNumberFormat="1"/>
    <xf numFmtId="166" fontId="0" fillId="2" borderId="0" xfId="1" applyNumberFormat="1" applyFont="1" applyFill="1"/>
    <xf numFmtId="43" fontId="0" fillId="2" borderId="0" xfId="1" applyFont="1" applyFill="1"/>
    <xf numFmtId="165" fontId="0" fillId="2" borderId="0" xfId="1" applyNumberFormat="1" applyFont="1" applyFill="1"/>
    <xf numFmtId="44" fontId="0" fillId="2" borderId="0" xfId="2" applyFont="1" applyFill="1"/>
    <xf numFmtId="43" fontId="0" fillId="2" borderId="0" xfId="0" applyNumberFormat="1" applyFill="1"/>
    <xf numFmtId="0" fontId="0" fillId="0" borderId="0" xfId="0" applyAlignment="1">
      <alignment horizontal="left"/>
    </xf>
    <xf numFmtId="0" fontId="0" fillId="0" borderId="0" xfId="0" applyAlignment="1">
      <alignment horizontal="left" vertical="top" wrapText="1"/>
    </xf>
    <xf numFmtId="0" fontId="0" fillId="0" borderId="0" xfId="0" applyBorder="1" applyAlignment="1">
      <alignment vertical="top"/>
    </xf>
    <xf numFmtId="165" fontId="0" fillId="3" borderId="0" xfId="1" applyNumberFormat="1" applyFont="1" applyFill="1"/>
    <xf numFmtId="44" fontId="0" fillId="3" borderId="0" xfId="2" applyFont="1" applyFill="1"/>
    <xf numFmtId="14" fontId="0" fillId="2" borderId="0" xfId="0" applyNumberFormat="1" applyFill="1"/>
    <xf numFmtId="9" fontId="0" fillId="2" borderId="0" xfId="3" applyFont="1" applyFill="1" applyAlignment="1">
      <alignment horizontal="right" indent="1"/>
    </xf>
    <xf numFmtId="44" fontId="0" fillId="2" borderId="0" xfId="2" applyFont="1" applyFill="1" applyAlignment="1">
      <alignment horizontal="right" indent="1"/>
    </xf>
    <xf numFmtId="44" fontId="0" fillId="3" borderId="0" xfId="2" applyFont="1" applyFill="1" applyAlignment="1">
      <alignment horizontal="right" indent="1"/>
    </xf>
    <xf numFmtId="44" fontId="0" fillId="3" borderId="0" xfId="3" applyNumberFormat="1" applyFont="1" applyFill="1" applyAlignment="1">
      <alignment horizontal="right" indent="1"/>
    </xf>
    <xf numFmtId="43" fontId="0" fillId="0" borderId="0" xfId="1" applyFont="1" applyFill="1"/>
    <xf numFmtId="43" fontId="0" fillId="3" borderId="0" xfId="0" applyNumberFormat="1" applyFill="1"/>
    <xf numFmtId="166" fontId="0" fillId="3" borderId="0" xfId="1" applyNumberFormat="1" applyFont="1" applyFill="1"/>
    <xf numFmtId="0" fontId="0" fillId="0" borderId="1" xfId="0" applyBorder="1"/>
    <xf numFmtId="44" fontId="0" fillId="0" borderId="1" xfId="2" applyFont="1" applyBorder="1"/>
    <xf numFmtId="9" fontId="0" fillId="0" borderId="1" xfId="0" applyNumberFormat="1" applyBorder="1"/>
    <xf numFmtId="43" fontId="0" fillId="0" borderId="1" xfId="1" applyFont="1" applyBorder="1"/>
    <xf numFmtId="44" fontId="0" fillId="0" borderId="1" xfId="0" applyNumberFormat="1" applyBorder="1"/>
    <xf numFmtId="0" fontId="5" fillId="0" borderId="0" xfId="0" applyFont="1" applyAlignment="1">
      <alignment horizontal="center" vertical="center" wrapText="1"/>
    </xf>
    <xf numFmtId="0" fontId="0" fillId="0" borderId="2" xfId="0" applyBorder="1"/>
    <xf numFmtId="44" fontId="0" fillId="0" borderId="3" xfId="2" applyFont="1" applyBorder="1"/>
    <xf numFmtId="9" fontId="0" fillId="0" borderId="3" xfId="0" applyNumberFormat="1" applyBorder="1"/>
    <xf numFmtId="43" fontId="0" fillId="0" borderId="3" xfId="1" applyFont="1" applyBorder="1"/>
    <xf numFmtId="0" fontId="0" fillId="0" borderId="3" xfId="0" applyBorder="1"/>
    <xf numFmtId="44" fontId="0" fillId="0" borderId="3" xfId="0" applyNumberFormat="1" applyBorder="1"/>
    <xf numFmtId="43" fontId="0" fillId="0" borderId="4" xfId="0" applyNumberFormat="1" applyBorder="1"/>
    <xf numFmtId="0" fontId="0" fillId="0" borderId="5" xfId="0" applyBorder="1"/>
    <xf numFmtId="0" fontId="0" fillId="0" borderId="6" xfId="0" applyBorder="1"/>
    <xf numFmtId="44" fontId="0" fillId="0" borderId="6" xfId="0" applyNumberFormat="1" applyBorder="1"/>
    <xf numFmtId="0" fontId="0" fillId="0" borderId="7" xfId="0" applyBorder="1"/>
    <xf numFmtId="0" fontId="0" fillId="0" borderId="8" xfId="0" applyBorder="1"/>
    <xf numFmtId="43" fontId="0" fillId="0" borderId="6" xfId="0" applyNumberFormat="1" applyBorder="1"/>
    <xf numFmtId="0" fontId="0" fillId="0" borderId="9" xfId="0" applyBorder="1"/>
    <xf numFmtId="0" fontId="0" fillId="0" borderId="10" xfId="0" applyBorder="1"/>
    <xf numFmtId="44" fontId="0" fillId="0" borderId="10" xfId="0" applyNumberFormat="1" applyBorder="1"/>
    <xf numFmtId="44" fontId="0" fillId="0" borderId="11" xfId="0" applyNumberFormat="1" applyBorder="1"/>
    <xf numFmtId="44" fontId="0" fillId="2" borderId="0" xfId="3" applyNumberFormat="1" applyFont="1" applyFill="1" applyAlignment="1">
      <alignment horizontal="right" indent="1"/>
    </xf>
    <xf numFmtId="0" fontId="0" fillId="0" borderId="0" xfId="0" applyAlignment="1">
      <alignment wrapText="1"/>
    </xf>
    <xf numFmtId="0" fontId="5" fillId="0" borderId="0" xfId="0" applyFont="1" applyAlignment="1">
      <alignment horizontal="left" vertical="center"/>
    </xf>
    <xf numFmtId="0" fontId="4" fillId="0" borderId="0" xfId="4" applyAlignment="1">
      <alignment horizontal="left" vertical="center"/>
    </xf>
    <xf numFmtId="166" fontId="0" fillId="2" borderId="0" xfId="1" applyNumberFormat="1" applyFont="1" applyFill="1" applyAlignment="1">
      <alignment horizontal="right"/>
    </xf>
    <xf numFmtId="0" fontId="0" fillId="0" borderId="0" xfId="0" applyFill="1"/>
    <xf numFmtId="0" fontId="4" fillId="0" borderId="0" xfId="4" applyFill="1"/>
    <xf numFmtId="0" fontId="0" fillId="0" borderId="0" xfId="0" applyFill="1" applyAlignment="1">
      <alignment horizontal="center"/>
    </xf>
    <xf numFmtId="0" fontId="3" fillId="0" borderId="0" xfId="0" applyFont="1" applyFill="1"/>
    <xf numFmtId="166" fontId="0" fillId="0" borderId="0" xfId="1" applyNumberFormat="1" applyFont="1" applyFill="1"/>
    <xf numFmtId="165" fontId="0" fillId="0" borderId="0" xfId="1" applyNumberFormat="1" applyFont="1" applyFill="1"/>
    <xf numFmtId="44" fontId="0" fillId="0" borderId="0" xfId="2" applyFont="1" applyFill="1"/>
    <xf numFmtId="164" fontId="0" fillId="0" borderId="0" xfId="0" applyNumberFormat="1" applyFill="1"/>
    <xf numFmtId="14" fontId="0" fillId="0" borderId="0" xfId="0" applyNumberFormat="1" applyFill="1"/>
    <xf numFmtId="44" fontId="0" fillId="0" borderId="0" xfId="3" applyNumberFormat="1" applyFont="1" applyFill="1" applyAlignment="1">
      <alignment horizontal="right" indent="1"/>
    </xf>
    <xf numFmtId="44" fontId="0" fillId="0" borderId="0" xfId="2" applyFont="1" applyFill="1" applyAlignment="1">
      <alignment horizontal="right" indent="1"/>
    </xf>
    <xf numFmtId="43" fontId="0" fillId="0" borderId="0" xfId="0" applyNumberFormat="1" applyFill="1"/>
    <xf numFmtId="165" fontId="0" fillId="0" borderId="0" xfId="0" applyNumberFormat="1" applyFill="1"/>
    <xf numFmtId="0" fontId="0" fillId="0" borderId="0" xfId="0" applyAlignment="1">
      <alignment horizontal="right" indent="3"/>
    </xf>
    <xf numFmtId="168" fontId="0" fillId="0" borderId="0" xfId="3" applyNumberFormat="1" applyFont="1"/>
    <xf numFmtId="9" fontId="0" fillId="0" borderId="0" xfId="3" applyNumberFormat="1" applyFont="1"/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44" fontId="7" fillId="0" borderId="1" xfId="0" applyNumberFormat="1" applyFont="1" applyBorder="1"/>
    <xf numFmtId="43" fontId="0" fillId="0" borderId="12" xfId="0" applyNumberFormat="1" applyBorder="1"/>
    <xf numFmtId="0" fontId="0" fillId="0" borderId="13" xfId="0" applyBorder="1"/>
    <xf numFmtId="44" fontId="0" fillId="0" borderId="4" xfId="0" applyNumberFormat="1" applyBorder="1"/>
    <xf numFmtId="9" fontId="0" fillId="0" borderId="10" xfId="0" applyNumberFormat="1" applyBorder="1"/>
    <xf numFmtId="43" fontId="0" fillId="0" borderId="10" xfId="1" applyFont="1" applyBorder="1"/>
    <xf numFmtId="0" fontId="0" fillId="0" borderId="4" xfId="0" applyBorder="1"/>
    <xf numFmtId="0" fontId="0" fillId="0" borderId="5" xfId="0" applyBorder="1" applyAlignment="1">
      <alignment vertical="top"/>
    </xf>
    <xf numFmtId="0" fontId="0" fillId="0" borderId="6" xfId="0" applyBorder="1" applyAlignment="1">
      <alignment wrapText="1"/>
    </xf>
    <xf numFmtId="166" fontId="0" fillId="3" borderId="6" xfId="1" applyNumberFormat="1" applyFont="1" applyFill="1" applyBorder="1"/>
    <xf numFmtId="165" fontId="0" fillId="3" borderId="6" xfId="1" applyNumberFormat="1" applyFont="1" applyFill="1" applyBorder="1"/>
    <xf numFmtId="0" fontId="0" fillId="0" borderId="5" xfId="0" applyFill="1" applyBorder="1"/>
    <xf numFmtId="165" fontId="0" fillId="2" borderId="6" xfId="1" applyNumberFormat="1" applyFont="1" applyFill="1" applyBorder="1"/>
    <xf numFmtId="44" fontId="0" fillId="3" borderId="6" xfId="2" applyFont="1" applyFill="1" applyBorder="1"/>
    <xf numFmtId="166" fontId="0" fillId="2" borderId="6" xfId="1" applyNumberFormat="1" applyFont="1" applyFill="1" applyBorder="1" applyAlignment="1">
      <alignment horizontal="right"/>
    </xf>
    <xf numFmtId="44" fontId="0" fillId="3" borderId="6" xfId="3" applyNumberFormat="1" applyFont="1" applyFill="1" applyBorder="1" applyAlignment="1">
      <alignment horizontal="right" indent="1"/>
    </xf>
    <xf numFmtId="44" fontId="0" fillId="3" borderId="6" xfId="2" applyFont="1" applyFill="1" applyBorder="1" applyAlignment="1">
      <alignment horizontal="right" indent="1"/>
    </xf>
    <xf numFmtId="43" fontId="0" fillId="2" borderId="6" xfId="0" applyNumberFormat="1" applyFill="1" applyBorder="1"/>
    <xf numFmtId="0" fontId="0" fillId="0" borderId="0" xfId="0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0" fillId="4" borderId="0" xfId="0" applyFill="1"/>
    <xf numFmtId="2" fontId="0" fillId="4" borderId="0" xfId="0" applyNumberFormat="1" applyFill="1"/>
    <xf numFmtId="44" fontId="0" fillId="2" borderId="6" xfId="3" applyNumberFormat="1" applyFont="1" applyFill="1" applyBorder="1" applyAlignment="1">
      <alignment horizontal="right" indent="1"/>
    </xf>
    <xf numFmtId="43" fontId="0" fillId="3" borderId="6" xfId="0" applyNumberFormat="1" applyFill="1" applyBorder="1"/>
    <xf numFmtId="165" fontId="0" fillId="3" borderId="11" xfId="1" applyNumberFormat="1" applyFont="1" applyFill="1" applyBorder="1"/>
    <xf numFmtId="44" fontId="0" fillId="2" borderId="6" xfId="3" applyNumberFormat="1" applyFont="1" applyFill="1" applyBorder="1" applyAlignment="1">
      <alignment horizontal="center"/>
    </xf>
    <xf numFmtId="166" fontId="0" fillId="2" borderId="6" xfId="1" applyNumberFormat="1" applyFont="1" applyFill="1" applyBorder="1"/>
    <xf numFmtId="43" fontId="0" fillId="2" borderId="6" xfId="1" applyNumberFormat="1" applyFont="1" applyFill="1" applyBorder="1"/>
    <xf numFmtId="43" fontId="0" fillId="3" borderId="6" xfId="1" applyNumberFormat="1" applyFont="1" applyFill="1" applyBorder="1"/>
    <xf numFmtId="169" fontId="0" fillId="3" borderId="6" xfId="1" applyNumberFormat="1" applyFont="1" applyFill="1" applyBorder="1"/>
    <xf numFmtId="44" fontId="0" fillId="2" borderId="6" xfId="2" applyFont="1" applyFill="1" applyBorder="1"/>
    <xf numFmtId="15" fontId="0" fillId="2" borderId="6" xfId="0" applyNumberFormat="1" applyFill="1" applyBorder="1" applyAlignment="1">
      <alignment horizontal="right"/>
    </xf>
    <xf numFmtId="9" fontId="0" fillId="2" borderId="6" xfId="0" applyNumberFormat="1" applyFill="1" applyBorder="1"/>
    <xf numFmtId="44" fontId="0" fillId="0" borderId="13" xfId="0" applyNumberFormat="1" applyBorder="1"/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5" borderId="1" xfId="0" applyFill="1" applyBorder="1"/>
    <xf numFmtId="0" fontId="0" fillId="5" borderId="5" xfId="0" applyFill="1" applyBorder="1"/>
    <xf numFmtId="0" fontId="0" fillId="5" borderId="9" xfId="0" applyFill="1" applyBorder="1"/>
    <xf numFmtId="0" fontId="0" fillId="5" borderId="10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4" xfId="0" applyFill="1" applyBorder="1"/>
    <xf numFmtId="0" fontId="0" fillId="5" borderId="19" xfId="0" applyFill="1" applyBorder="1"/>
    <xf numFmtId="43" fontId="0" fillId="2" borderId="20" xfId="1" applyNumberFormat="1" applyFont="1" applyFill="1" applyBorder="1"/>
    <xf numFmtId="0" fontId="0" fillId="6" borderId="9" xfId="0" applyFill="1" applyBorder="1" applyAlignment="1">
      <alignment vertical="top"/>
    </xf>
    <xf numFmtId="0" fontId="0" fillId="6" borderId="10" xfId="0" applyFill="1" applyBorder="1"/>
    <xf numFmtId="0" fontId="0" fillId="6" borderId="11" xfId="0" applyFill="1" applyBorder="1" applyAlignment="1">
      <alignment wrapText="1"/>
    </xf>
    <xf numFmtId="0" fontId="8" fillId="0" borderId="0" xfId="0" applyFont="1" applyAlignment="1">
      <alignment horizontal="center" vertical="top" wrapText="1"/>
    </xf>
    <xf numFmtId="0" fontId="0" fillId="0" borderId="21" xfId="0" applyBorder="1" applyAlignment="1">
      <alignment horizontal="right" indent="3"/>
    </xf>
    <xf numFmtId="0" fontId="0" fillId="0" borderId="21" xfId="0" applyBorder="1"/>
    <xf numFmtId="44" fontId="0" fillId="0" borderId="21" xfId="2" applyFont="1" applyBorder="1"/>
    <xf numFmtId="0" fontId="0" fillId="4" borderId="21" xfId="0" applyFill="1" applyBorder="1" applyAlignment="1">
      <alignment horizontal="right" indent="3"/>
    </xf>
    <xf numFmtId="0" fontId="0" fillId="4" borderId="21" xfId="0" applyFill="1" applyBorder="1"/>
    <xf numFmtId="44" fontId="0" fillId="4" borderId="21" xfId="2" applyFont="1" applyFill="1" applyBorder="1"/>
    <xf numFmtId="44" fontId="0" fillId="0" borderId="21" xfId="0" applyNumberFormat="1" applyBorder="1"/>
    <xf numFmtId="44" fontId="0" fillId="4" borderId="21" xfId="0" applyNumberFormat="1" applyFill="1" applyBorder="1"/>
    <xf numFmtId="9" fontId="0" fillId="4" borderId="21" xfId="3" applyNumberFormat="1" applyFont="1" applyFill="1" applyBorder="1"/>
    <xf numFmtId="9" fontId="0" fillId="0" borderId="21" xfId="3" applyNumberFormat="1" applyFont="1" applyBorder="1"/>
    <xf numFmtId="0" fontId="0" fillId="0" borderId="2" xfId="0" applyFill="1" applyBorder="1"/>
    <xf numFmtId="44" fontId="0" fillId="0" borderId="3" xfId="2" applyFont="1" applyFill="1" applyBorder="1"/>
    <xf numFmtId="9" fontId="0" fillId="0" borderId="3" xfId="0" applyNumberFormat="1" applyFill="1" applyBorder="1"/>
    <xf numFmtId="43" fontId="0" fillId="0" borderId="3" xfId="1" applyFont="1" applyFill="1" applyBorder="1"/>
    <xf numFmtId="44" fontId="0" fillId="0" borderId="4" xfId="0" applyNumberFormat="1" applyFill="1" applyBorder="1"/>
    <xf numFmtId="44" fontId="0" fillId="0" borderId="1" xfId="0" applyNumberFormat="1" applyFill="1" applyBorder="1"/>
    <xf numFmtId="9" fontId="0" fillId="0" borderId="1" xfId="0" applyNumberFormat="1" applyFill="1" applyBorder="1"/>
    <xf numFmtId="43" fontId="0" fillId="0" borderId="1" xfId="1" applyFont="1" applyFill="1" applyBorder="1"/>
    <xf numFmtId="44" fontId="0" fillId="0" borderId="6" xfId="0" applyNumberFormat="1" applyFill="1" applyBorder="1"/>
    <xf numFmtId="43" fontId="0" fillId="0" borderId="22" xfId="0" applyNumberFormat="1" applyBorder="1"/>
    <xf numFmtId="0" fontId="0" fillId="0" borderId="22" xfId="0" applyBorder="1"/>
    <xf numFmtId="44" fontId="7" fillId="0" borderId="26" xfId="0" applyNumberFormat="1" applyFont="1" applyBorder="1"/>
    <xf numFmtId="0" fontId="7" fillId="0" borderId="23" xfId="0" applyFont="1" applyFill="1" applyBorder="1" applyAlignment="1">
      <alignment horizontal="center"/>
    </xf>
    <xf numFmtId="0" fontId="7" fillId="0" borderId="24" xfId="0" applyFont="1" applyFill="1" applyBorder="1" applyAlignment="1">
      <alignment horizontal="center"/>
    </xf>
    <xf numFmtId="0" fontId="7" fillId="0" borderId="25" xfId="0" applyFont="1" applyFill="1" applyBorder="1" applyAlignment="1">
      <alignment horizontal="center"/>
    </xf>
    <xf numFmtId="0" fontId="0" fillId="0" borderId="9" xfId="0" applyFill="1" applyBorder="1"/>
    <xf numFmtId="44" fontId="0" fillId="0" borderId="10" xfId="0" applyNumberFormat="1" applyFill="1" applyBorder="1"/>
    <xf numFmtId="9" fontId="0" fillId="0" borderId="10" xfId="0" applyNumberFormat="1" applyFill="1" applyBorder="1"/>
    <xf numFmtId="43" fontId="0" fillId="0" borderId="10" xfId="1" applyFont="1" applyFill="1" applyBorder="1"/>
    <xf numFmtId="44" fontId="0" fillId="0" borderId="11" xfId="0" applyNumberFormat="1" applyFill="1" applyBorder="1"/>
    <xf numFmtId="44" fontId="7" fillId="0" borderId="22" xfId="0" applyNumberFormat="1" applyFont="1" applyBorder="1"/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6" fillId="5" borderId="14" xfId="0" applyFont="1" applyFill="1" applyBorder="1"/>
    <xf numFmtId="44" fontId="10" fillId="5" borderId="15" xfId="0" applyNumberFormat="1" applyFont="1" applyFill="1" applyBorder="1"/>
    <xf numFmtId="0" fontId="6" fillId="5" borderId="15" xfId="0" applyFont="1" applyFill="1" applyBorder="1"/>
    <xf numFmtId="43" fontId="9" fillId="5" borderId="15" xfId="1" applyFont="1" applyFill="1" applyBorder="1"/>
    <xf numFmtId="44" fontId="10" fillId="5" borderId="27" xfId="0" applyNumberFormat="1" applyFont="1" applyFill="1" applyBorder="1"/>
    <xf numFmtId="0" fontId="7" fillId="5" borderId="28" xfId="0" applyFont="1" applyFill="1" applyBorder="1"/>
    <xf numFmtId="44" fontId="10" fillId="5" borderId="29" xfId="0" applyNumberFormat="1" applyFont="1" applyFill="1" applyBorder="1"/>
    <xf numFmtId="0" fontId="7" fillId="5" borderId="29" xfId="0" applyFont="1" applyFill="1" applyBorder="1"/>
    <xf numFmtId="43" fontId="7" fillId="5" borderId="29" xfId="1" applyFont="1" applyFill="1" applyBorder="1"/>
    <xf numFmtId="44" fontId="10" fillId="5" borderId="30" xfId="0" applyNumberFormat="1" applyFont="1" applyFill="1" applyBorder="1"/>
    <xf numFmtId="0" fontId="4" fillId="0" borderId="34" xfId="4" applyBorder="1"/>
    <xf numFmtId="0" fontId="0" fillId="0" borderId="34" xfId="0" applyBorder="1"/>
    <xf numFmtId="44" fontId="0" fillId="0" borderId="34" xfId="0" applyNumberFormat="1" applyBorder="1"/>
    <xf numFmtId="0" fontId="5" fillId="0" borderId="0" xfId="0" applyFont="1" applyAlignment="1">
      <alignment horizontal="right" vertical="center"/>
    </xf>
    <xf numFmtId="0" fontId="4" fillId="0" borderId="0" xfId="4" applyAlignment="1">
      <alignment horizontal="right" vertical="center"/>
    </xf>
    <xf numFmtId="44" fontId="0" fillId="0" borderId="0" xfId="2" applyFont="1" applyBorder="1"/>
    <xf numFmtId="9" fontId="0" fillId="0" borderId="0" xfId="0" applyNumberFormat="1" applyBorder="1"/>
    <xf numFmtId="43" fontId="0" fillId="0" borderId="0" xfId="1" applyFont="1" applyBorder="1"/>
    <xf numFmtId="44" fontId="0" fillId="0" borderId="0" xfId="0" applyNumberFormat="1" applyBorder="1"/>
    <xf numFmtId="0" fontId="7" fillId="0" borderId="0" xfId="0" applyFont="1" applyBorder="1"/>
    <xf numFmtId="0" fontId="0" fillId="3" borderId="0" xfId="0" applyFill="1"/>
    <xf numFmtId="44" fontId="7" fillId="3" borderId="0" xfId="0" applyNumberFormat="1" applyFont="1" applyFill="1" applyBorder="1"/>
    <xf numFmtId="43" fontId="7" fillId="3" borderId="0" xfId="1" applyFont="1" applyFill="1" applyBorder="1"/>
    <xf numFmtId="0" fontId="0" fillId="3" borderId="0" xfId="0" applyFill="1" applyAlignment="1">
      <alignment horizontal="right"/>
    </xf>
    <xf numFmtId="43" fontId="7" fillId="3" borderId="0" xfId="0" applyNumberFormat="1" applyFont="1" applyFill="1" applyBorder="1"/>
    <xf numFmtId="0" fontId="7" fillId="7" borderId="0" xfId="0" applyFont="1" applyFill="1" applyBorder="1"/>
    <xf numFmtId="44" fontId="7" fillId="7" borderId="0" xfId="0" applyNumberFormat="1" applyFont="1" applyFill="1" applyBorder="1"/>
    <xf numFmtId="43" fontId="7" fillId="7" borderId="0" xfId="0" applyNumberFormat="1" applyFont="1" applyFill="1"/>
    <xf numFmtId="44" fontId="7" fillId="7" borderId="0" xfId="2" applyFont="1" applyFill="1" applyBorder="1"/>
    <xf numFmtId="0" fontId="6" fillId="8" borderId="35" xfId="0" applyFont="1" applyFill="1" applyBorder="1" applyAlignment="1">
      <alignment horizontal="center" vertical="center"/>
    </xf>
    <xf numFmtId="10" fontId="7" fillId="7" borderId="0" xfId="3" applyNumberFormat="1" applyFont="1" applyFill="1" applyBorder="1"/>
    <xf numFmtId="0" fontId="7" fillId="3" borderId="0" xfId="0" applyFont="1" applyFill="1"/>
    <xf numFmtId="169" fontId="7" fillId="3" borderId="0" xfId="0" applyNumberFormat="1" applyFont="1" applyFill="1"/>
    <xf numFmtId="0" fontId="0" fillId="3" borderId="0" xfId="0" applyFill="1" applyBorder="1"/>
    <xf numFmtId="0" fontId="7" fillId="3" borderId="0" xfId="0" applyFont="1" applyFill="1" applyBorder="1"/>
    <xf numFmtId="0" fontId="7" fillId="3" borderId="0" xfId="0" applyFont="1" applyFill="1" applyBorder="1" applyAlignment="1">
      <alignment horizontal="right"/>
    </xf>
    <xf numFmtId="43" fontId="0" fillId="0" borderId="0" xfId="1" applyNumberFormat="1" applyFont="1" applyFill="1" applyBorder="1"/>
    <xf numFmtId="166" fontId="0" fillId="0" borderId="0" xfId="1" applyNumberFormat="1" applyFont="1" applyFill="1" applyBorder="1"/>
    <xf numFmtId="169" fontId="0" fillId="0" borderId="0" xfId="1" applyNumberFormat="1" applyFont="1" applyFill="1" applyBorder="1"/>
    <xf numFmtId="165" fontId="0" fillId="0" borderId="0" xfId="1" applyNumberFormat="1" applyFont="1" applyFill="1" applyBorder="1"/>
    <xf numFmtId="44" fontId="0" fillId="0" borderId="0" xfId="2" applyFont="1" applyFill="1" applyBorder="1"/>
    <xf numFmtId="166" fontId="0" fillId="0" borderId="0" xfId="1" applyNumberFormat="1" applyFont="1" applyFill="1" applyBorder="1" applyAlignment="1">
      <alignment horizontal="right"/>
    </xf>
    <xf numFmtId="15" fontId="0" fillId="0" borderId="0" xfId="0" applyNumberFormat="1" applyFill="1" applyBorder="1" applyAlignment="1">
      <alignment horizontal="right"/>
    </xf>
    <xf numFmtId="43" fontId="0" fillId="0" borderId="0" xfId="0" applyNumberFormat="1" applyFill="1" applyBorder="1"/>
    <xf numFmtId="44" fontId="0" fillId="0" borderId="0" xfId="3" applyNumberFormat="1" applyFont="1" applyFill="1" applyBorder="1" applyAlignment="1">
      <alignment horizontal="right" indent="1"/>
    </xf>
    <xf numFmtId="44" fontId="0" fillId="0" borderId="0" xfId="3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5" borderId="18" xfId="0" applyFill="1" applyBorder="1" applyAlignment="1">
      <alignment horizontal="left" vertical="center"/>
    </xf>
    <xf numFmtId="0" fontId="0" fillId="5" borderId="17" xfId="0" applyFill="1" applyBorder="1" applyAlignment="1">
      <alignment horizontal="left" vertical="center"/>
    </xf>
    <xf numFmtId="0" fontId="0" fillId="5" borderId="16" xfId="0" applyFill="1" applyBorder="1" applyAlignment="1">
      <alignment horizontal="left" vertical="center"/>
    </xf>
    <xf numFmtId="0" fontId="6" fillId="8" borderId="35" xfId="0" applyFont="1" applyFill="1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6" fillId="8" borderId="35" xfId="0" applyFont="1" applyFill="1" applyBorder="1" applyAlignment="1">
      <alignment horizontal="center"/>
    </xf>
  </cellXfs>
  <cellStyles count="5">
    <cellStyle name="Hipervínculo" xfId="4" builtinId="8"/>
    <cellStyle name="Millares" xfId="1" builtinId="3"/>
    <cellStyle name="Moneda" xfId="2" builtinId="4"/>
    <cellStyle name="Normal" xfId="0" builtinId="0"/>
    <cellStyle name="Porcentaje" xfId="3" builtinId="5"/>
  </cellStyles>
  <dxfs count="26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34" formatCode="_-&quot;$&quot;* #,##0.00_-;\-&quot;$&quot;* #,##0.00_-;_-&quot;$&quot;* &quot;-&quot;??_-;_-@_-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3" formatCode="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$&quot;* #,##0.00_-;\-&quot;$&quot;* #,##0.00_-;_-&quot;$&quot;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numFmt numFmtId="34" formatCode="_-&quot;$&quot;* #,##0.00_-;\-&quot;$&quot;* #,##0.00_-;_-&quot;$&quot;* &quot;-&quot;??_-;_-@_-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3" formatCode="0%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$&quot;* #,##0.00_-;\-&quot;$&quot;* #,##0.00_-;_-&quot;$&quot;* &quot;-&quot;??_-;_-@_-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diagonalUp="0" diagonalDown="0">
        <left style="thin">
          <color theme="9" tint="0.59996337778862885"/>
        </left>
        <right style="thin">
          <color theme="9" tint="0.59996337778862885"/>
        </right>
        <top style="thin">
          <color theme="9" tint="0.59996337778862885"/>
        </top>
        <bottom style="thin">
          <color theme="9" tint="0.59996337778862885"/>
        </bottom>
        <vertical style="thin">
          <color theme="9" tint="0.59996337778862885"/>
        </vertical>
        <horizontal style="thin">
          <color theme="9" tint="0.59996337778862885"/>
        </horizontal>
      </border>
    </dxf>
    <dxf>
      <numFmt numFmtId="34" formatCode="_-&quot;$&quot;* #,##0.00_-;\-&quot;$&quot;* #,##0.00_-;_-&quot;$&quot;* &quot;-&quot;??_-;_-@_-"/>
      <border diagonalUp="0" diagonalDown="0">
        <left style="thin">
          <color theme="9" tint="0.59996337778862885"/>
        </left>
        <right style="thin">
          <color theme="9" tint="0.59996337778862885"/>
        </right>
        <top style="thin">
          <color theme="9" tint="0.59996337778862885"/>
        </top>
        <bottom style="thin">
          <color theme="9" tint="0.59996337778862885"/>
        </bottom>
        <vertical style="thin">
          <color theme="9" tint="0.59996337778862885"/>
        </vertical>
        <horizontal style="thin">
          <color theme="9" tint="0.59996337778862885"/>
        </horizontal>
      </border>
    </dxf>
    <dxf>
      <border diagonalUp="0" diagonalDown="0">
        <left style="thin">
          <color theme="9" tint="0.59996337778862885"/>
        </left>
        <right style="thin">
          <color theme="9" tint="0.59996337778862885"/>
        </right>
        <top style="thin">
          <color theme="9" tint="0.59996337778862885"/>
        </top>
        <bottom style="thin">
          <color theme="9" tint="0.59996337778862885"/>
        </bottom>
        <vertical style="thin">
          <color theme="9" tint="0.59996337778862885"/>
        </vertical>
        <horizontal style="thin">
          <color theme="9" tint="0.59996337778862885"/>
        </horizontal>
      </border>
    </dxf>
    <dxf>
      <border diagonalUp="0" diagonalDown="0">
        <left style="thin">
          <color theme="9" tint="0.59996337778862885"/>
        </left>
        <right style="thin">
          <color theme="9" tint="0.59996337778862885"/>
        </right>
        <top style="thin">
          <color theme="9" tint="0.59996337778862885"/>
        </top>
        <bottom style="thin">
          <color theme="9" tint="0.59996337778862885"/>
        </bottom>
        <vertical style="thin">
          <color theme="9" tint="0.59996337778862885"/>
        </vertical>
        <horizontal style="thin">
          <color theme="9" tint="0.59996337778862885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numFmt numFmtId="2" formatCode="0.0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3"/>
          <c:order val="0"/>
          <c:tx>
            <c:strRef>
              <c:f>'Villa Ahumada con Financiam (2)'!$AB$39</c:f>
              <c:strCache>
                <c:ptCount val="1"/>
                <c:pt idx="0">
                  <c:v>Acumulado</c:v>
                </c:pt>
              </c:strCache>
            </c:strRef>
          </c:tx>
          <c:spPr>
            <a:ln w="19050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'Villa Ahumada con Financiam (2)'!$N$40:$N$60</c:f>
              <c:numCache>
                <c:formatCode>General</c:formatCode>
                <c:ptCount val="21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xVal>
          <c:yVal>
            <c:numRef>
              <c:f>'Villa Ahumada con Financiam (2)'!$AB$40:$AB$60</c:f>
              <c:numCache>
                <c:formatCode>_("$"* #,##0.00_);_("$"* \(#,##0.00\);_("$"* "-"??_);_(@_)</c:formatCode>
                <c:ptCount val="21"/>
                <c:pt idx="1">
                  <c:v>-118919628.57607512</c:v>
                </c:pt>
                <c:pt idx="2">
                  <c:v>-115382516.76582544</c:v>
                </c:pt>
                <c:pt idx="3">
                  <c:v>-111845404.95557575</c:v>
                </c:pt>
                <c:pt idx="4">
                  <c:v>-108308293.14532606</c:v>
                </c:pt>
                <c:pt idx="5">
                  <c:v>-104771181.33507638</c:v>
                </c:pt>
                <c:pt idx="6">
                  <c:v>-101234069.52482669</c:v>
                </c:pt>
                <c:pt idx="7">
                  <c:v>-97696957.714577004</c:v>
                </c:pt>
                <c:pt idx="8">
                  <c:v>-94159845.904327318</c:v>
                </c:pt>
                <c:pt idx="9">
                  <c:v>-90622734.094077632</c:v>
                </c:pt>
                <c:pt idx="10">
                  <c:v>-87085622.283827946</c:v>
                </c:pt>
                <c:pt idx="11">
                  <c:v>-104762185.68725348</c:v>
                </c:pt>
                <c:pt idx="12">
                  <c:v>-101225073.87700379</c:v>
                </c:pt>
                <c:pt idx="13">
                  <c:v>-97687962.066754103</c:v>
                </c:pt>
                <c:pt idx="14">
                  <c:v>-94150850.256504416</c:v>
                </c:pt>
                <c:pt idx="15">
                  <c:v>-90613738.44625473</c:v>
                </c:pt>
                <c:pt idx="16">
                  <c:v>-56674017.626259759</c:v>
                </c:pt>
                <c:pt idx="17">
                  <c:v>-22734296.806264788</c:v>
                </c:pt>
                <c:pt idx="18">
                  <c:v>11205424.013730185</c:v>
                </c:pt>
                <c:pt idx="19">
                  <c:v>50823206.651951328</c:v>
                </c:pt>
                <c:pt idx="20">
                  <c:v>90440989.290172458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BE30-4975-BEDA-9CEF65F38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1673024"/>
        <c:axId val="631677944"/>
      </c:scatterChart>
      <c:valAx>
        <c:axId val="6316730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31677944"/>
        <c:crosses val="autoZero"/>
        <c:crossBetween val="midCat"/>
      </c:valAx>
      <c:valAx>
        <c:axId val="631677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31673024"/>
        <c:crosses val="autoZero"/>
        <c:crossBetween val="midCat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</c:dispUnitsLbl>
        </c:dispUnits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196101</xdr:colOff>
      <xdr:row>21</xdr:row>
      <xdr:rowOff>11206</xdr:rowOff>
    </xdr:from>
    <xdr:to>
      <xdr:col>48</xdr:col>
      <xdr:colOff>593911</xdr:colOff>
      <xdr:row>57</xdr:row>
      <xdr:rowOff>161364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1FCE6F5-31C9-4818-B4BA-CAAB19836A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8501158-489E-4832-9633-DA26A8855D93}" name="Tabla1" displayName="Tabla1" ref="B45:D50" totalsRowShown="0" headerRowDxfId="25">
  <tableColumns count="3">
    <tableColumn id="1" xr3:uid="{05547622-4C78-4220-93A0-80B3223A62EC}" name="Cáculo de Generación"/>
    <tableColumn id="2" xr3:uid="{5281A7C5-4636-4233-9CBF-68CE9198D9C8}" name="Unidades"/>
    <tableColumn id="3" xr3:uid="{58523DB6-A32C-4904-89BC-0809476F211C}" name="Valores" dataDxfId="24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CC26DC9-0197-4F71-9503-93B7679452E7}" name="Tabla3" displayName="Tabla3" ref="I6:L16" totalsRowShown="0" headerRowDxfId="23">
  <tableColumns count="4">
    <tableColumn id="1" xr3:uid="{24BBC5D5-8D61-4683-AE54-42542EA3AB6F}" name="MW " dataDxfId="22"/>
    <tableColumn id="2" xr3:uid="{229ADF73-B73E-4420-A58E-3E68303FB212}" name="Site" dataDxfId="21"/>
    <tableColumn id="3" xr3:uid="{DBCF351C-8E72-43C7-881F-17F2E88630F4}" name="Million of USD" dataDxfId="20"/>
    <tableColumn id="4" xr3:uid="{BF7FC6E7-02F2-4978-B9AA-CF5BC1018F39}" name="%" dataDxfId="19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B094A7D-C25B-40A9-83FB-AB0D14238993}" name="Tabla4" displayName="Tabla4" ref="L40:P58" totalsRowShown="0" headerRowDxfId="18" dataDxfId="17" tableBorderDxfId="16">
  <tableColumns count="5">
    <tableColumn id="1" xr3:uid="{82BE32DE-F7B1-4022-8794-825CAF349D41}" name="Año" dataDxfId="15"/>
    <tableColumn id="2" xr3:uid="{ED057259-0180-45DC-A8FD-028D195378FE}" name="Saldo Insoluto" dataDxfId="14">
      <calculatedColumnFormula>M40+O40-P40</calculatedColumnFormula>
    </tableColumn>
    <tableColumn id="3" xr3:uid="{E69911E6-F8AE-4D30-9AC3-5B595EAA4B84}" name="Tasa" dataDxfId="13">
      <calculatedColumnFormula>$D$25</calculatedColumnFormula>
    </tableColumn>
    <tableColumn id="4" xr3:uid="{CCC91184-8C51-43BC-A6F4-216E2FE49EA0}" name="Interés" dataDxfId="12" dataCellStyle="Millares">
      <calculatedColumnFormula>M41*N41</calculatedColumnFormula>
    </tableColumn>
    <tableColumn id="5" xr3:uid="{D66D1929-0A16-4237-9D74-69BAD0D108B6}" name="Pago Anual" dataDxfId="11">
      <calculatedColumnFormula>($M$41+$O$59)/$L$58</calculatedColumnFormula>
    </tableColumn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07B66F0-B934-486D-9A90-75F27C8E7F58}" name="Tabla5" displayName="Tabla5" ref="L61:P79" totalsRowShown="0" headerRowDxfId="10" headerRowBorderDxfId="9" tableBorderDxfId="8">
  <tableColumns count="5">
    <tableColumn id="1" xr3:uid="{C6A700EF-33F6-4BDC-A2B9-10DD1EC90502}" name="Año" dataDxfId="7"/>
    <tableColumn id="2" xr3:uid="{F23876B4-96CB-415F-9B82-6B6474A59CBB}" name="Saldo Insoluto" dataDxfId="6">
      <calculatedColumnFormula>M61+O61-P61</calculatedColumnFormula>
    </tableColumn>
    <tableColumn id="3" xr3:uid="{7EA85AE6-17CC-469E-8600-45B790F96EEA}" name="Tasa" dataDxfId="5">
      <calculatedColumnFormula>$D$25</calculatedColumnFormula>
    </tableColumn>
    <tableColumn id="4" xr3:uid="{223A9A04-2193-4A86-8E88-B55347BE7BB2}" name="Interés" dataDxfId="4" dataCellStyle="Millares">
      <calculatedColumnFormula>M62*N62</calculatedColumnFormula>
    </tableColumn>
    <tableColumn id="5" xr3:uid="{9C854616-C567-40C5-AF1F-69A1CA16E038}" name="Pago Anual" dataDxfId="3">
      <calculatedColumnFormula>($M$62+$O$80)/$L$79</calculatedColumnFormula>
    </tableColumn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420D8E4-FF54-4DC1-92DA-C1F3C7AD86CF}" name="Tabla6" displayName="Tabla6" ref="C2:F16" totalsRowShown="0" headerRowDxfId="2">
  <tableColumns count="4">
    <tableColumn id="1" xr3:uid="{EBB6D8F2-8879-4635-BDAF-19AA6B9983C8}" name="Concepto" dataDxfId="1"/>
    <tableColumn id="2" xr3:uid="{984C11C3-43EE-4468-B45C-BEC75E66260F}" name="Unidades" dataDxfId="0"/>
    <tableColumn id="3" xr3:uid="{98252151-1046-4E11-9FD8-105ADC5FAE32}" name="Valor"/>
    <tableColumn id="4" xr3:uid="{34719600-5A99-4E2A-9A7D-505A3FA898B4}" name="Columna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omosindustria.com/articulo/invierte-engie-en-mexico/" TargetMode="External"/><Relationship Id="rId13" Type="http://schemas.openxmlformats.org/officeDocument/2006/relationships/hyperlink" Target="https://www.proyectosmexico.gob.mx/proyecto_inversion/708-cenace-subasta-electrica-de-largo-plazo-2017-villa-ahumada/" TargetMode="External"/><Relationship Id="rId3" Type="http://schemas.openxmlformats.org/officeDocument/2006/relationships/hyperlink" Target="https://www.proyectosmexico.gob.mx/proyecto_inversion/708-cenace-subasta-electrica-de-largo-plazo-2017-villa-ahumada/" TargetMode="External"/><Relationship Id="rId7" Type="http://schemas.openxmlformats.org/officeDocument/2006/relationships/hyperlink" Target="https://www.somosindustria.com/articulo/invierte-engie-en-mexico/" TargetMode="External"/><Relationship Id="rId12" Type="http://schemas.openxmlformats.org/officeDocument/2006/relationships/hyperlink" Target="https://www.proyectosmexico.gob.mx/proyecto_inversion/708-cenace-subasta-electrica-de-largo-plazo-2017-villa-ahumada/" TargetMode="External"/><Relationship Id="rId2" Type="http://schemas.openxmlformats.org/officeDocument/2006/relationships/hyperlink" Target="http://www.aurasolar.com.mx/aura-solar-i.html" TargetMode="External"/><Relationship Id="rId16" Type="http://schemas.openxmlformats.org/officeDocument/2006/relationships/hyperlink" Target="https://www.cenace.gob.mx/Docs/05_SLP/2017/57%20Aviso%20FAP%20Compradores%20Potenciales%20y%20Licitantes%20v%2029%2011%202017%20.pdf" TargetMode="External"/><Relationship Id="rId1" Type="http://schemas.openxmlformats.org/officeDocument/2006/relationships/hyperlink" Target="https://www.somosindustria.com/articulo/invierte-engie-en-mexico/" TargetMode="External"/><Relationship Id="rId6" Type="http://schemas.openxmlformats.org/officeDocument/2006/relationships/hyperlink" Target="https://www.somosindustria.com/articulo/invierte-engie-en-mexico/" TargetMode="External"/><Relationship Id="rId11" Type="http://schemas.openxmlformats.org/officeDocument/2006/relationships/hyperlink" Target="https://www.proyectosmexico.gob.mx/proyecto_inversion/708-cenace-subasta-electrica-de-largo-plazo-2017-villa-ahumada/" TargetMode="External"/><Relationship Id="rId5" Type="http://schemas.openxmlformats.org/officeDocument/2006/relationships/hyperlink" Target="https://www.proyectosmexico.gob.mx/proyecto_inversion/708-cenace-subasta-electrica-de-largo-plazo-2017-villa-ahumada/" TargetMode="External"/><Relationship Id="rId15" Type="http://schemas.openxmlformats.org/officeDocument/2006/relationships/hyperlink" Target="https://www.proyectosmexico.gob.mx/proyecto_inversion/708-cenace-subasta-electrica-de-largo-plazo-2017-villa-ahumada/" TargetMode="External"/><Relationship Id="rId10" Type="http://schemas.openxmlformats.org/officeDocument/2006/relationships/hyperlink" Target="https://www.proyectosmexico.gob.mx/proyecto_inversion/708-cenace-subasta-electrica-de-largo-plazo-2017-villa-ahumada/" TargetMode="External"/><Relationship Id="rId4" Type="http://schemas.openxmlformats.org/officeDocument/2006/relationships/hyperlink" Target="https://www.proyectosmexico.gob.mx/proyecto_inversion/708-cenace-subasta-electrica-de-largo-plazo-2017-villa-ahumada/" TargetMode="External"/><Relationship Id="rId9" Type="http://schemas.openxmlformats.org/officeDocument/2006/relationships/hyperlink" Target="https://www.proyectosmexico.gob.mx/proyecto_inversion/708-cenace-subasta-electrica-de-largo-plazo-2017-villa-ahumada/" TargetMode="External"/><Relationship Id="rId14" Type="http://schemas.openxmlformats.org/officeDocument/2006/relationships/hyperlink" Target="https://www.proyectosmexico.gob.mx/proyecto_inversion/708-cenace-subasta-electrica-de-largo-plazo-2017-villa-ahumada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royectosmexico.gob.mx/proyecto_inversion/708-cenace-subasta-electrica-de-largo-plazo-2017-villa-ahumada/" TargetMode="External"/><Relationship Id="rId13" Type="http://schemas.openxmlformats.org/officeDocument/2006/relationships/hyperlink" Target="https://www.proyectosmexico.gob.mx/proyecto_inversion/708-cenace-subasta-electrica-de-largo-plazo-2017-villa-ahumada/" TargetMode="External"/><Relationship Id="rId3" Type="http://schemas.openxmlformats.org/officeDocument/2006/relationships/hyperlink" Target="https://www.proyectosmexico.gob.mx/proyecto_inversion/708-cenace-subasta-electrica-de-largo-plazo-2017-villa-ahumada/" TargetMode="External"/><Relationship Id="rId7" Type="http://schemas.openxmlformats.org/officeDocument/2006/relationships/hyperlink" Target="https://www.proyectosmexico.gob.mx/proyecto_inversion/708-cenace-subasta-electrica-de-largo-plazo-2017-villa-ahumada/" TargetMode="External"/><Relationship Id="rId12" Type="http://schemas.openxmlformats.org/officeDocument/2006/relationships/hyperlink" Target="https://www.proyectosmexico.gob.mx/proyecto_inversion/708-cenace-subasta-electrica-de-largo-plazo-2017-villa-ahumada/" TargetMode="External"/><Relationship Id="rId2" Type="http://schemas.openxmlformats.org/officeDocument/2006/relationships/hyperlink" Target="https://www.proyectosmexico.gob.mx/proyecto_inversion/708-cenace-subasta-electrica-de-largo-plazo-2017-villa-ahumada/" TargetMode="External"/><Relationship Id="rId1" Type="http://schemas.openxmlformats.org/officeDocument/2006/relationships/hyperlink" Target="https://www.proyectosmexico.gob.mx/proyecto_inversion/708-cenace-subasta-electrica-de-largo-plazo-2017-villa-ahumada/" TargetMode="External"/><Relationship Id="rId6" Type="http://schemas.openxmlformats.org/officeDocument/2006/relationships/hyperlink" Target="https://www.somosindustria.com/articulo/invierte-engie-en-mexico/" TargetMode="External"/><Relationship Id="rId11" Type="http://schemas.openxmlformats.org/officeDocument/2006/relationships/hyperlink" Target="https://www.proyectosmexico.gob.mx/proyecto_inversion/708-cenace-subasta-electrica-de-largo-plazo-2017-villa-ahumada/" TargetMode="External"/><Relationship Id="rId5" Type="http://schemas.openxmlformats.org/officeDocument/2006/relationships/hyperlink" Target="https://www.somosindustria.com/articulo/invierte-engie-en-mexico/" TargetMode="External"/><Relationship Id="rId10" Type="http://schemas.openxmlformats.org/officeDocument/2006/relationships/hyperlink" Target="https://www.proyectosmexico.gob.mx/proyecto_inversion/708-cenace-subasta-electrica-de-largo-plazo-2017-villa-ahumada/" TargetMode="External"/><Relationship Id="rId4" Type="http://schemas.openxmlformats.org/officeDocument/2006/relationships/hyperlink" Target="https://www.somosindustria.com/articulo/invierte-engie-en-mexico/" TargetMode="External"/><Relationship Id="rId9" Type="http://schemas.openxmlformats.org/officeDocument/2006/relationships/hyperlink" Target="https://www.proyectosmexico.gob.mx/proyecto_inversion/708-cenace-subasta-electrica-de-largo-plazo-2017-villa-ahumada/" TargetMode="External"/><Relationship Id="rId14" Type="http://schemas.openxmlformats.org/officeDocument/2006/relationships/hyperlink" Target="https://www.cenace.gob.mx/Docs/05_SLP/2017/57%20Aviso%20FAP%20Compradores%20Potenciales%20y%20Licitantes%20v%2029%2011%202017%20.pdf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royectosmexico.gob.mx/proyecto_inversion/708-cenace-subasta-electrica-de-largo-plazo-2017-villa-ahumada/" TargetMode="External"/><Relationship Id="rId13" Type="http://schemas.openxmlformats.org/officeDocument/2006/relationships/hyperlink" Target="https://www.proyectosmexico.gob.mx/proyecto_inversion/708-cenace-subasta-electrica-de-largo-plazo-2017-villa-ahumada/" TargetMode="External"/><Relationship Id="rId18" Type="http://schemas.openxmlformats.org/officeDocument/2006/relationships/table" Target="../tables/table2.xml"/><Relationship Id="rId3" Type="http://schemas.openxmlformats.org/officeDocument/2006/relationships/hyperlink" Target="https://www.proyectosmexico.gob.mx/proyecto_inversion/708-cenace-subasta-electrica-de-largo-plazo-2017-villa-ahumada/" TargetMode="External"/><Relationship Id="rId7" Type="http://schemas.openxmlformats.org/officeDocument/2006/relationships/hyperlink" Target="https://www.proyectosmexico.gob.mx/proyecto_inversion/708-cenace-subasta-electrica-de-largo-plazo-2017-villa-ahumada/" TargetMode="External"/><Relationship Id="rId12" Type="http://schemas.openxmlformats.org/officeDocument/2006/relationships/hyperlink" Target="https://www.proyectosmexico.gob.mx/proyecto_inversion/708-cenace-subasta-electrica-de-largo-plazo-2017-villa-ahumada/" TargetMode="External"/><Relationship Id="rId17" Type="http://schemas.openxmlformats.org/officeDocument/2006/relationships/table" Target="../tables/table1.xml"/><Relationship Id="rId2" Type="http://schemas.openxmlformats.org/officeDocument/2006/relationships/hyperlink" Target="https://www.proyectosmexico.gob.mx/proyecto_inversion/708-cenace-subasta-electrica-de-largo-plazo-2017-villa-ahumada/" TargetMode="External"/><Relationship Id="rId16" Type="http://schemas.openxmlformats.org/officeDocument/2006/relationships/hyperlink" Target="https://www.inframationgroup.com/engie-signs-financing-mexican-renewable-portfolio" TargetMode="External"/><Relationship Id="rId20" Type="http://schemas.openxmlformats.org/officeDocument/2006/relationships/table" Target="../tables/table4.xml"/><Relationship Id="rId1" Type="http://schemas.openxmlformats.org/officeDocument/2006/relationships/hyperlink" Target="https://www.proyectosmexico.gob.mx/proyecto_inversion/708-cenace-subasta-electrica-de-largo-plazo-2017-villa-ahumada/" TargetMode="External"/><Relationship Id="rId6" Type="http://schemas.openxmlformats.org/officeDocument/2006/relationships/hyperlink" Target="https://www.somosindustria.com/articulo/invierte-engie-en-mexico/" TargetMode="External"/><Relationship Id="rId11" Type="http://schemas.openxmlformats.org/officeDocument/2006/relationships/hyperlink" Target="https://www.proyectosmexico.gob.mx/proyecto_inversion/708-cenace-subasta-electrica-de-largo-plazo-2017-villa-ahumada/" TargetMode="External"/><Relationship Id="rId5" Type="http://schemas.openxmlformats.org/officeDocument/2006/relationships/hyperlink" Target="https://www.somosindustria.com/articulo/invierte-engie-en-mexico/" TargetMode="External"/><Relationship Id="rId15" Type="http://schemas.openxmlformats.org/officeDocument/2006/relationships/hyperlink" Target="https://www.proyectosmexico.gob.mx/proyecto_inversion/708-cenace-subasta-electrica-de-largo-plazo-2017-villa-ahumada/" TargetMode="External"/><Relationship Id="rId10" Type="http://schemas.openxmlformats.org/officeDocument/2006/relationships/hyperlink" Target="https://www.proyectosmexico.gob.mx/proyecto_inversion/708-cenace-subasta-electrica-de-largo-plazo-2017-villa-ahumada/" TargetMode="External"/><Relationship Id="rId19" Type="http://schemas.openxmlformats.org/officeDocument/2006/relationships/table" Target="../tables/table3.xml"/><Relationship Id="rId4" Type="http://schemas.openxmlformats.org/officeDocument/2006/relationships/hyperlink" Target="https://www.somosindustria.com/articulo/invierte-engie-en-mexico/" TargetMode="External"/><Relationship Id="rId9" Type="http://schemas.openxmlformats.org/officeDocument/2006/relationships/hyperlink" Target="https://www.proyectosmexico.gob.mx/proyecto_inversion/708-cenace-subasta-electrica-de-largo-plazo-2017-villa-ahumada/" TargetMode="External"/><Relationship Id="rId14" Type="http://schemas.openxmlformats.org/officeDocument/2006/relationships/hyperlink" Target="https://www.cenace.gob.mx/Docs/05_SLP/2017/57%20Aviso%20FAP%20Compradores%20Potenciales%20y%20Licitantes%20v%2029%2011%202017%20.pdf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royectosmexico.gob.mx/proyecto_inversion/708-cenace-subasta-electrica-de-largo-plazo-2017-villa-ahumada/" TargetMode="External"/><Relationship Id="rId13" Type="http://schemas.openxmlformats.org/officeDocument/2006/relationships/hyperlink" Target="https://www.proyectosmexico.gob.mx/proyecto_inversion/708-cenace-subasta-electrica-de-largo-plazo-2017-villa-ahumada/" TargetMode="External"/><Relationship Id="rId3" Type="http://schemas.openxmlformats.org/officeDocument/2006/relationships/hyperlink" Target="https://www.proyectosmexico.gob.mx/proyecto_inversion/708-cenace-subasta-electrica-de-largo-plazo-2017-villa-ahumada/" TargetMode="External"/><Relationship Id="rId7" Type="http://schemas.openxmlformats.org/officeDocument/2006/relationships/hyperlink" Target="https://www.proyectosmexico.gob.mx/proyecto_inversion/708-cenace-subasta-electrica-de-largo-plazo-2017-villa-ahumada/" TargetMode="External"/><Relationship Id="rId12" Type="http://schemas.openxmlformats.org/officeDocument/2006/relationships/hyperlink" Target="https://www.proyectosmexico.gob.mx/proyecto_inversion/708-cenace-subasta-electrica-de-largo-plazo-2017-villa-ahumada/" TargetMode="External"/><Relationship Id="rId2" Type="http://schemas.openxmlformats.org/officeDocument/2006/relationships/hyperlink" Target="https://www.proyectosmexico.gob.mx/proyecto_inversion/708-cenace-subasta-electrica-de-largo-plazo-2017-villa-ahumada/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https://www.proyectosmexico.gob.mx/proyecto_inversion/708-cenace-subasta-electrica-de-largo-plazo-2017-villa-ahumada/" TargetMode="External"/><Relationship Id="rId6" Type="http://schemas.openxmlformats.org/officeDocument/2006/relationships/hyperlink" Target="https://www.somosindustria.com/articulo/invierte-engie-en-mexico/" TargetMode="External"/><Relationship Id="rId11" Type="http://schemas.openxmlformats.org/officeDocument/2006/relationships/hyperlink" Target="https://www.proyectosmexico.gob.mx/proyecto_inversion/708-cenace-subasta-electrica-de-largo-plazo-2017-villa-ahumada/" TargetMode="External"/><Relationship Id="rId5" Type="http://schemas.openxmlformats.org/officeDocument/2006/relationships/hyperlink" Target="https://www.somosindustria.com/articulo/invierte-engie-en-mexico/" TargetMode="External"/><Relationship Id="rId15" Type="http://schemas.openxmlformats.org/officeDocument/2006/relationships/hyperlink" Target="https://www.proyectosmexico.gob.mx/proyecto_inversion/708-cenace-subasta-electrica-de-largo-plazo-2017-villa-ahumada/" TargetMode="External"/><Relationship Id="rId10" Type="http://schemas.openxmlformats.org/officeDocument/2006/relationships/hyperlink" Target="https://www.proyectosmexico.gob.mx/proyecto_inversion/708-cenace-subasta-electrica-de-largo-plazo-2017-villa-ahumada/" TargetMode="External"/><Relationship Id="rId4" Type="http://schemas.openxmlformats.org/officeDocument/2006/relationships/hyperlink" Target="https://www.somosindustria.com/articulo/invierte-engie-en-mexico/" TargetMode="External"/><Relationship Id="rId9" Type="http://schemas.openxmlformats.org/officeDocument/2006/relationships/hyperlink" Target="https://www.proyectosmexico.gob.mx/proyecto_inversion/708-cenace-subasta-electrica-de-largo-plazo-2017-villa-ahumada/" TargetMode="External"/><Relationship Id="rId14" Type="http://schemas.openxmlformats.org/officeDocument/2006/relationships/hyperlink" Target="https://www.cenace.gob.mx/Docs/05_SLP/2017/57%20Aviso%20FAP%20Compradores%20Potenciales%20y%20Licitantes%20v%2029%2011%202017%20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92F25-D2BA-407C-965D-F5DE9F04C81F}">
  <dimension ref="A2:T65"/>
  <sheetViews>
    <sheetView topLeftCell="B1" zoomScaleNormal="100" workbookViewId="0">
      <pane xSplit="2" ySplit="5" topLeftCell="D12" activePane="bottomRight" state="frozen"/>
      <selection activeCell="B1" sqref="B1"/>
      <selection pane="topRight" activeCell="D1" sqref="D1"/>
      <selection pane="bottomLeft" activeCell="B6" sqref="B6"/>
      <selection pane="bottomRight" activeCell="D24" sqref="D24"/>
    </sheetView>
  </sheetViews>
  <sheetFormatPr baseColWidth="10" defaultColWidth="9.140625" defaultRowHeight="15" x14ac:dyDescent="0.25"/>
  <cols>
    <col min="2" max="2" width="30.140625" customWidth="1"/>
    <col min="3" max="3" width="10.85546875" bestFit="1" customWidth="1"/>
    <col min="4" max="4" width="20.5703125" customWidth="1"/>
    <col min="5" max="5" width="9.140625" customWidth="1"/>
    <col min="6" max="8" width="20.5703125" customWidth="1"/>
    <col min="9" max="9" width="12.42578125" customWidth="1"/>
    <col min="10" max="10" width="20.5703125" customWidth="1"/>
    <col min="11" max="12" width="12.42578125" customWidth="1"/>
    <col min="13" max="13" width="20.5703125" customWidth="1"/>
    <col min="14" max="14" width="12.42578125" customWidth="1"/>
  </cols>
  <sheetData>
    <row r="2" spans="1:14" x14ac:dyDescent="0.25">
      <c r="E2" s="17" t="s">
        <v>45</v>
      </c>
      <c r="F2" s="65"/>
      <c r="G2" s="65"/>
      <c r="H2" s="65"/>
      <c r="I2" s="17" t="s">
        <v>45</v>
      </c>
      <c r="K2" s="17"/>
      <c r="L2" s="17" t="s">
        <v>45</v>
      </c>
      <c r="N2" s="17" t="s">
        <v>45</v>
      </c>
    </row>
    <row r="3" spans="1:14" x14ac:dyDescent="0.25">
      <c r="D3" s="15" t="s">
        <v>44</v>
      </c>
      <c r="E3" s="17" t="s">
        <v>45</v>
      </c>
      <c r="F3" s="65"/>
      <c r="G3" s="65"/>
      <c r="H3" s="66"/>
      <c r="I3" s="17" t="s">
        <v>45</v>
      </c>
      <c r="J3" s="15" t="s">
        <v>40</v>
      </c>
      <c r="K3" s="17"/>
      <c r="L3" s="17" t="s">
        <v>45</v>
      </c>
      <c r="M3" t="s">
        <v>41</v>
      </c>
      <c r="N3" s="17" t="s">
        <v>45</v>
      </c>
    </row>
    <row r="4" spans="1:14" x14ac:dyDescent="0.25">
      <c r="A4" s="6" t="s">
        <v>28</v>
      </c>
      <c r="D4" s="6" t="s">
        <v>29</v>
      </c>
      <c r="E4" s="17" t="s">
        <v>45</v>
      </c>
      <c r="F4" s="65"/>
      <c r="G4" s="67"/>
      <c r="H4" s="68"/>
      <c r="I4" s="17" t="s">
        <v>45</v>
      </c>
      <c r="J4" s="12" t="s">
        <v>35</v>
      </c>
      <c r="K4" s="17"/>
      <c r="L4" s="17" t="s">
        <v>45</v>
      </c>
      <c r="N4" s="17" t="s">
        <v>45</v>
      </c>
    </row>
    <row r="5" spans="1:14" x14ac:dyDescent="0.25">
      <c r="A5" s="6"/>
      <c r="B5" s="6" t="s">
        <v>46</v>
      </c>
      <c r="D5" s="24" t="s">
        <v>59</v>
      </c>
      <c r="E5" s="17" t="s">
        <v>45</v>
      </c>
      <c r="F5" s="65"/>
      <c r="G5" s="65"/>
      <c r="H5" s="65"/>
      <c r="I5" s="17" t="s">
        <v>45</v>
      </c>
      <c r="J5" t="s">
        <v>38</v>
      </c>
      <c r="K5" s="17"/>
      <c r="L5" s="17" t="s">
        <v>45</v>
      </c>
      <c r="N5" s="17" t="s">
        <v>45</v>
      </c>
    </row>
    <row r="6" spans="1:14" ht="30" x14ac:dyDescent="0.25">
      <c r="A6" s="6"/>
      <c r="B6" s="26" t="s">
        <v>47</v>
      </c>
      <c r="D6" s="25" t="s">
        <v>48</v>
      </c>
      <c r="E6" s="42" t="s">
        <v>60</v>
      </c>
      <c r="F6" s="65"/>
      <c r="G6" s="65"/>
      <c r="H6" s="65"/>
      <c r="I6" s="42" t="s">
        <v>60</v>
      </c>
      <c r="J6" s="61" t="s">
        <v>61</v>
      </c>
      <c r="K6" s="63" t="s">
        <v>39</v>
      </c>
      <c r="L6" s="42" t="s">
        <v>60</v>
      </c>
      <c r="N6" s="42" t="s">
        <v>60</v>
      </c>
    </row>
    <row r="7" spans="1:14" x14ac:dyDescent="0.25">
      <c r="A7" s="6"/>
      <c r="B7" s="6" t="s">
        <v>5</v>
      </c>
      <c r="C7" t="s">
        <v>6</v>
      </c>
      <c r="D7" s="19">
        <v>42</v>
      </c>
      <c r="E7" s="17" t="s">
        <v>45</v>
      </c>
      <c r="F7" s="69"/>
      <c r="G7" s="69"/>
      <c r="H7" s="69"/>
      <c r="I7" s="17" t="s">
        <v>45</v>
      </c>
      <c r="J7" s="10">
        <v>198.77</v>
      </c>
      <c r="K7" s="63" t="s">
        <v>40</v>
      </c>
      <c r="L7" s="17" t="s">
        <v>45</v>
      </c>
      <c r="M7">
        <v>198.77</v>
      </c>
      <c r="N7" s="17" t="s">
        <v>45</v>
      </c>
    </row>
    <row r="8" spans="1:14" x14ac:dyDescent="0.25">
      <c r="A8" s="6"/>
      <c r="B8" s="6"/>
      <c r="C8" t="s">
        <v>7</v>
      </c>
      <c r="D8" s="36">
        <f>1000*D7</f>
        <v>42000</v>
      </c>
      <c r="E8" s="17" t="s">
        <v>45</v>
      </c>
      <c r="F8" s="69"/>
      <c r="G8" s="69"/>
      <c r="H8" s="69"/>
      <c r="I8" s="17" t="s">
        <v>45</v>
      </c>
      <c r="J8" s="36">
        <f>1000*J7</f>
        <v>198770</v>
      </c>
      <c r="K8" s="17" t="s">
        <v>63</v>
      </c>
      <c r="L8" s="17" t="s">
        <v>45</v>
      </c>
      <c r="N8" s="17" t="s">
        <v>45</v>
      </c>
    </row>
    <row r="9" spans="1:14" x14ac:dyDescent="0.25">
      <c r="A9" s="6"/>
      <c r="B9" s="6" t="s">
        <v>9</v>
      </c>
      <c r="C9" t="s">
        <v>11</v>
      </c>
      <c r="D9" s="20">
        <v>5.35</v>
      </c>
      <c r="E9" s="17" t="s">
        <v>45</v>
      </c>
      <c r="F9" s="34"/>
      <c r="G9" s="34"/>
      <c r="H9" s="34"/>
      <c r="I9" s="17" t="s">
        <v>45</v>
      </c>
      <c r="J9" s="18">
        <v>5.2322220000000002</v>
      </c>
      <c r="K9" s="17" t="s">
        <v>63</v>
      </c>
      <c r="L9" s="17" t="s">
        <v>45</v>
      </c>
      <c r="M9" s="1">
        <v>5.35</v>
      </c>
      <c r="N9" s="17" t="s">
        <v>45</v>
      </c>
    </row>
    <row r="10" spans="1:14" x14ac:dyDescent="0.25">
      <c r="A10" s="6"/>
      <c r="B10" s="6" t="s">
        <v>8</v>
      </c>
      <c r="C10" t="s">
        <v>50</v>
      </c>
      <c r="D10" s="27">
        <f>D7*365*D9/1000</f>
        <v>82.015500000000003</v>
      </c>
      <c r="E10" s="17" t="s">
        <v>45</v>
      </c>
      <c r="F10" s="70"/>
      <c r="G10" s="70"/>
      <c r="H10" s="70"/>
      <c r="I10" s="17" t="s">
        <v>45</v>
      </c>
      <c r="J10" s="27">
        <f>J7*365*J9/1000</f>
        <v>379.60319993310003</v>
      </c>
      <c r="K10" s="17" t="s">
        <v>63</v>
      </c>
      <c r="L10" s="17" t="s">
        <v>45</v>
      </c>
      <c r="M10" s="7">
        <f>M7*365*M9/1000</f>
        <v>388.14811750000001</v>
      </c>
      <c r="N10" s="17" t="s">
        <v>45</v>
      </c>
    </row>
    <row r="11" spans="1:14" x14ac:dyDescent="0.25">
      <c r="A11" s="6"/>
      <c r="B11" s="6" t="s">
        <v>8</v>
      </c>
      <c r="C11" t="s">
        <v>51</v>
      </c>
      <c r="D11" s="27">
        <f>1000*D10</f>
        <v>82015.5</v>
      </c>
      <c r="E11" s="17" t="s">
        <v>45</v>
      </c>
      <c r="F11" s="70"/>
      <c r="G11" s="70"/>
      <c r="H11" s="70"/>
      <c r="I11" s="17" t="s">
        <v>45</v>
      </c>
      <c r="J11" s="27">
        <f>1000*J10</f>
        <v>379603.19993310003</v>
      </c>
      <c r="K11" s="63" t="s">
        <v>39</v>
      </c>
      <c r="L11" s="17" t="s">
        <v>45</v>
      </c>
      <c r="M11" s="7"/>
      <c r="N11" s="17" t="s">
        <v>45</v>
      </c>
    </row>
    <row r="12" spans="1:14" x14ac:dyDescent="0.25">
      <c r="A12" s="6"/>
      <c r="B12" s="9" t="s">
        <v>57</v>
      </c>
      <c r="C12" t="s">
        <v>62</v>
      </c>
      <c r="D12" s="27"/>
      <c r="E12" s="17"/>
      <c r="F12" s="70"/>
      <c r="G12" s="70"/>
      <c r="H12" s="70"/>
      <c r="I12" s="17"/>
      <c r="J12" s="21">
        <v>434486</v>
      </c>
      <c r="K12" s="63" t="s">
        <v>39</v>
      </c>
      <c r="L12" s="17" t="s">
        <v>45</v>
      </c>
      <c r="M12" s="7"/>
      <c r="N12" s="17"/>
    </row>
    <row r="13" spans="1:14" x14ac:dyDescent="0.25">
      <c r="A13" s="6"/>
      <c r="B13" s="9" t="s">
        <v>18</v>
      </c>
      <c r="D13" s="19">
        <v>131800</v>
      </c>
      <c r="E13" s="17" t="s">
        <v>45</v>
      </c>
      <c r="F13" s="69"/>
      <c r="G13" s="69"/>
      <c r="H13" s="69"/>
      <c r="I13" s="17" t="s">
        <v>45</v>
      </c>
      <c r="K13" s="17"/>
      <c r="L13" s="17" t="s">
        <v>45</v>
      </c>
      <c r="N13" s="17" t="s">
        <v>45</v>
      </c>
    </row>
    <row r="14" spans="1:14" x14ac:dyDescent="0.25">
      <c r="A14" s="6"/>
      <c r="B14" s="9" t="s">
        <v>34</v>
      </c>
      <c r="C14" t="s">
        <v>19</v>
      </c>
      <c r="D14" s="19">
        <v>320</v>
      </c>
      <c r="E14" s="17" t="s">
        <v>45</v>
      </c>
      <c r="F14" s="65"/>
      <c r="G14" s="69"/>
      <c r="H14" s="65"/>
      <c r="I14" s="17" t="s">
        <v>45</v>
      </c>
      <c r="K14" s="17"/>
      <c r="L14" s="17" t="s">
        <v>45</v>
      </c>
      <c r="N14" s="17" t="s">
        <v>45</v>
      </c>
    </row>
    <row r="15" spans="1:14" x14ac:dyDescent="0.25">
      <c r="A15" s="6"/>
      <c r="B15" s="9" t="s">
        <v>36</v>
      </c>
      <c r="C15" t="s">
        <v>0</v>
      </c>
      <c r="D15" s="19">
        <v>100</v>
      </c>
      <c r="E15" s="17" t="s">
        <v>45</v>
      </c>
      <c r="F15" s="65"/>
      <c r="G15" s="69"/>
      <c r="H15" s="65"/>
      <c r="I15" s="17" t="s">
        <v>45</v>
      </c>
      <c r="J15" s="10">
        <v>500</v>
      </c>
      <c r="K15" s="63" t="s">
        <v>40</v>
      </c>
      <c r="L15" s="17" t="s">
        <v>45</v>
      </c>
      <c r="N15" s="17" t="s">
        <v>45</v>
      </c>
    </row>
    <row r="16" spans="1:14" x14ac:dyDescent="0.25">
      <c r="B16" t="s">
        <v>2</v>
      </c>
      <c r="C16" t="s">
        <v>3</v>
      </c>
      <c r="D16" s="22">
        <v>100000000</v>
      </c>
      <c r="E16" s="17" t="s">
        <v>45</v>
      </c>
      <c r="F16" s="71"/>
      <c r="G16" s="71"/>
      <c r="H16" s="71"/>
      <c r="I16" s="17" t="s">
        <v>45</v>
      </c>
      <c r="J16" s="3">
        <v>146000000</v>
      </c>
      <c r="K16" s="63" t="s">
        <v>40</v>
      </c>
      <c r="L16" s="17" t="s">
        <v>45</v>
      </c>
      <c r="N16" s="17" t="s">
        <v>45</v>
      </c>
    </row>
    <row r="17" spans="2:19" x14ac:dyDescent="0.25">
      <c r="B17" t="s">
        <v>4</v>
      </c>
      <c r="C17" t="s">
        <v>1</v>
      </c>
      <c r="D17" s="22">
        <v>15</v>
      </c>
      <c r="E17" s="17" t="s">
        <v>45</v>
      </c>
      <c r="F17" s="71"/>
      <c r="G17" s="71"/>
      <c r="H17" s="71"/>
      <c r="I17" s="17" t="s">
        <v>45</v>
      </c>
      <c r="J17" s="3">
        <v>15</v>
      </c>
      <c r="K17" s="17" t="s">
        <v>64</v>
      </c>
      <c r="L17" s="17" t="s">
        <v>45</v>
      </c>
      <c r="N17" s="17" t="s">
        <v>45</v>
      </c>
    </row>
    <row r="18" spans="2:19" x14ac:dyDescent="0.25">
      <c r="B18" t="s">
        <v>4</v>
      </c>
      <c r="C18" t="s">
        <v>10</v>
      </c>
      <c r="D18" s="28">
        <f>D17*D8</f>
        <v>630000</v>
      </c>
      <c r="E18" s="17" t="s">
        <v>45</v>
      </c>
      <c r="F18" s="71"/>
      <c r="G18" s="71"/>
      <c r="H18" s="71"/>
      <c r="I18" s="17" t="s">
        <v>45</v>
      </c>
      <c r="J18" s="28">
        <f>J17*J8</f>
        <v>2981550</v>
      </c>
      <c r="K18" s="17" t="s">
        <v>63</v>
      </c>
      <c r="L18" s="17" t="s">
        <v>45</v>
      </c>
      <c r="M18" s="13"/>
      <c r="N18" s="17" t="s">
        <v>45</v>
      </c>
    </row>
    <row r="19" spans="2:19" x14ac:dyDescent="0.25">
      <c r="B19" t="s">
        <v>12</v>
      </c>
      <c r="C19" t="s">
        <v>13</v>
      </c>
      <c r="D19" s="19">
        <v>30</v>
      </c>
      <c r="E19" s="17" t="s">
        <v>45</v>
      </c>
      <c r="F19" s="69"/>
      <c r="G19" s="69"/>
      <c r="H19" s="69"/>
      <c r="I19" s="17" t="s">
        <v>45</v>
      </c>
      <c r="J19" s="64" t="s">
        <v>65</v>
      </c>
      <c r="K19" s="63" t="s">
        <v>39</v>
      </c>
      <c r="L19" s="17" t="s">
        <v>45</v>
      </c>
      <c r="N19" s="17" t="s">
        <v>45</v>
      </c>
    </row>
    <row r="20" spans="2:19" x14ac:dyDescent="0.25">
      <c r="B20" t="s">
        <v>26</v>
      </c>
      <c r="C20" t="s">
        <v>13</v>
      </c>
      <c r="D20" s="8"/>
      <c r="E20" s="17" t="s">
        <v>45</v>
      </c>
      <c r="F20" s="72"/>
      <c r="G20" s="70"/>
      <c r="H20" s="73"/>
      <c r="I20" s="17" t="s">
        <v>45</v>
      </c>
      <c r="J20">
        <f>7/12</f>
        <v>0.58333333333333337</v>
      </c>
      <c r="K20" s="63" t="s">
        <v>39</v>
      </c>
      <c r="L20" s="17" t="s">
        <v>45</v>
      </c>
      <c r="N20" s="17" t="s">
        <v>45</v>
      </c>
    </row>
    <row r="21" spans="2:19" x14ac:dyDescent="0.25">
      <c r="B21" t="s">
        <v>30</v>
      </c>
      <c r="C21" t="s">
        <v>31</v>
      </c>
      <c r="D21" s="29">
        <v>41518</v>
      </c>
      <c r="E21" s="17" t="s">
        <v>45</v>
      </c>
      <c r="F21" s="70"/>
      <c r="G21" s="70"/>
      <c r="H21" s="73"/>
      <c r="I21" s="17" t="s">
        <v>45</v>
      </c>
      <c r="J21" s="14">
        <v>43483</v>
      </c>
      <c r="K21" s="63" t="s">
        <v>39</v>
      </c>
      <c r="L21" s="17" t="s">
        <v>45</v>
      </c>
      <c r="N21" s="17" t="s">
        <v>45</v>
      </c>
    </row>
    <row r="22" spans="2:19" x14ac:dyDescent="0.25">
      <c r="B22" t="s">
        <v>14</v>
      </c>
      <c r="C22" t="s">
        <v>3</v>
      </c>
      <c r="D22" s="22">
        <v>75000000</v>
      </c>
      <c r="E22" s="17" t="s">
        <v>45</v>
      </c>
      <c r="F22" s="71"/>
      <c r="G22" s="71"/>
      <c r="H22" s="71"/>
      <c r="I22" s="17" t="s">
        <v>45</v>
      </c>
      <c r="J22">
        <v>0</v>
      </c>
      <c r="K22" s="63" t="s">
        <v>39</v>
      </c>
      <c r="L22" s="17" t="s">
        <v>45</v>
      </c>
      <c r="N22" s="17" t="s">
        <v>45</v>
      </c>
    </row>
    <row r="23" spans="2:19" x14ac:dyDescent="0.25">
      <c r="B23" t="s">
        <v>15</v>
      </c>
      <c r="C23" t="s">
        <v>13</v>
      </c>
      <c r="D23" s="19">
        <v>9</v>
      </c>
      <c r="E23" s="17" t="s">
        <v>45</v>
      </c>
      <c r="F23" s="65"/>
      <c r="G23" s="65"/>
      <c r="H23" s="65"/>
      <c r="I23" s="17" t="s">
        <v>45</v>
      </c>
      <c r="J23">
        <v>0</v>
      </c>
      <c r="K23" s="63" t="s">
        <v>39</v>
      </c>
      <c r="L23" s="17" t="s">
        <v>45</v>
      </c>
      <c r="M23">
        <v>18.5</v>
      </c>
      <c r="N23" s="17" t="s">
        <v>45</v>
      </c>
      <c r="R23" t="s">
        <v>3</v>
      </c>
      <c r="S23" t="s">
        <v>6</v>
      </c>
    </row>
    <row r="24" spans="2:19" x14ac:dyDescent="0.25">
      <c r="B24" t="s">
        <v>16</v>
      </c>
      <c r="C24" t="s">
        <v>20</v>
      </c>
      <c r="D24" s="30">
        <v>7.0000000000000007E-2</v>
      </c>
      <c r="E24" s="17" t="s">
        <v>45</v>
      </c>
      <c r="F24" s="65"/>
      <c r="G24" s="65"/>
      <c r="H24" s="65"/>
      <c r="I24" s="17" t="s">
        <v>45</v>
      </c>
      <c r="J24">
        <v>0</v>
      </c>
      <c r="K24" s="63" t="s">
        <v>39</v>
      </c>
      <c r="L24" s="17" t="s">
        <v>45</v>
      </c>
      <c r="N24" s="17" t="s">
        <v>45</v>
      </c>
      <c r="R24" s="4">
        <v>124.4</v>
      </c>
      <c r="S24">
        <v>157</v>
      </c>
    </row>
    <row r="25" spans="2:19" x14ac:dyDescent="0.25">
      <c r="B25" t="s">
        <v>58</v>
      </c>
      <c r="C25" t="s">
        <v>3</v>
      </c>
      <c r="D25" s="33">
        <f>D16-D22</f>
        <v>25000000</v>
      </c>
      <c r="E25" s="17" t="s">
        <v>45</v>
      </c>
      <c r="F25" s="74"/>
      <c r="G25" s="74"/>
      <c r="H25" s="74"/>
      <c r="I25" s="17" t="s">
        <v>45</v>
      </c>
      <c r="J25" s="33">
        <f>J16-J22</f>
        <v>146000000</v>
      </c>
      <c r="K25" s="17" t="s">
        <v>63</v>
      </c>
      <c r="L25" s="17" t="s">
        <v>45</v>
      </c>
      <c r="N25" s="17" t="s">
        <v>45</v>
      </c>
      <c r="R25" s="4"/>
    </row>
    <row r="26" spans="2:19" x14ac:dyDescent="0.25">
      <c r="B26" t="s">
        <v>55</v>
      </c>
      <c r="C26" t="s">
        <v>3</v>
      </c>
      <c r="D26" s="31">
        <v>9534455.7808865663</v>
      </c>
      <c r="E26" s="17" t="s">
        <v>45</v>
      </c>
      <c r="F26" s="65"/>
      <c r="G26" s="65"/>
      <c r="H26" s="65"/>
      <c r="I26" s="17" t="s">
        <v>45</v>
      </c>
      <c r="K26" s="17"/>
      <c r="L26" s="17" t="s">
        <v>45</v>
      </c>
      <c r="N26" s="17" t="s">
        <v>45</v>
      </c>
      <c r="R26" s="4"/>
    </row>
    <row r="27" spans="2:19" x14ac:dyDescent="0.25">
      <c r="B27" t="s">
        <v>52</v>
      </c>
      <c r="C27" t="s">
        <v>3</v>
      </c>
      <c r="D27" s="31">
        <v>28603367.34265966</v>
      </c>
      <c r="E27" s="17" t="s">
        <v>45</v>
      </c>
      <c r="F27" s="65"/>
      <c r="G27" s="65"/>
      <c r="H27" s="65"/>
      <c r="I27" s="17" t="s">
        <v>45</v>
      </c>
      <c r="K27" s="17"/>
      <c r="L27" s="17" t="s">
        <v>45</v>
      </c>
      <c r="N27" s="17" t="s">
        <v>45</v>
      </c>
      <c r="R27" s="4"/>
    </row>
    <row r="28" spans="2:19" x14ac:dyDescent="0.25">
      <c r="B28" t="s">
        <v>53</v>
      </c>
      <c r="C28" t="s">
        <v>3</v>
      </c>
      <c r="D28" s="32">
        <f>D18*D19</f>
        <v>18900000</v>
      </c>
      <c r="E28" s="17" t="s">
        <v>45</v>
      </c>
      <c r="F28" s="75"/>
      <c r="G28" s="75"/>
      <c r="H28" s="75"/>
      <c r="I28" s="17" t="s">
        <v>45</v>
      </c>
      <c r="J28" s="32">
        <f>J18*MID(J19,12,2)</f>
        <v>59631000</v>
      </c>
      <c r="K28" s="17" t="s">
        <v>63</v>
      </c>
      <c r="L28" s="17" t="s">
        <v>45</v>
      </c>
      <c r="N28" s="17" t="s">
        <v>45</v>
      </c>
      <c r="R28" s="4"/>
    </row>
    <row r="29" spans="2:19" x14ac:dyDescent="0.25">
      <c r="B29" t="s">
        <v>54</v>
      </c>
      <c r="C29" t="s">
        <v>3</v>
      </c>
      <c r="D29" s="33">
        <f>D16+D26+D27+D28</f>
        <v>157037823.12354621</v>
      </c>
      <c r="E29" s="17" t="s">
        <v>45</v>
      </c>
      <c r="F29" s="74"/>
      <c r="G29" s="74"/>
      <c r="H29" s="74"/>
      <c r="I29" s="17" t="s">
        <v>45</v>
      </c>
      <c r="J29" s="33">
        <f>J16+J26+J27+J28</f>
        <v>205631000</v>
      </c>
      <c r="K29" s="17" t="s">
        <v>63</v>
      </c>
      <c r="L29" s="17" t="s">
        <v>45</v>
      </c>
      <c r="N29" s="17" t="s">
        <v>45</v>
      </c>
      <c r="R29" s="4"/>
    </row>
    <row r="30" spans="2:19" x14ac:dyDescent="0.25">
      <c r="B30" t="s">
        <v>17</v>
      </c>
      <c r="C30" t="s">
        <v>21</v>
      </c>
      <c r="D30" s="20">
        <v>238</v>
      </c>
      <c r="E30" s="17" t="s">
        <v>45</v>
      </c>
      <c r="F30" s="65"/>
      <c r="G30" s="71"/>
      <c r="H30" s="71"/>
      <c r="I30" s="17" t="s">
        <v>45</v>
      </c>
      <c r="K30" s="17"/>
      <c r="L30" s="17" t="s">
        <v>45</v>
      </c>
      <c r="N30" s="17" t="s">
        <v>45</v>
      </c>
      <c r="R30" s="4">
        <v>99</v>
      </c>
      <c r="S30">
        <v>51</v>
      </c>
    </row>
    <row r="31" spans="2:19" x14ac:dyDescent="0.25">
      <c r="B31" t="s">
        <v>27</v>
      </c>
      <c r="C31" t="s">
        <v>37</v>
      </c>
      <c r="D31" s="34"/>
      <c r="E31" s="17" t="s">
        <v>45</v>
      </c>
      <c r="F31" s="65"/>
      <c r="G31" s="71"/>
      <c r="H31" s="65"/>
      <c r="I31" s="17" t="s">
        <v>45</v>
      </c>
      <c r="J31" s="23">
        <f>2904000000/131402714</f>
        <v>22.100000156769973</v>
      </c>
      <c r="K31" s="63" t="s">
        <v>39</v>
      </c>
      <c r="L31" s="17" t="s">
        <v>45</v>
      </c>
      <c r="N31" s="17" t="s">
        <v>45</v>
      </c>
      <c r="R31" s="4">
        <v>143</v>
      </c>
      <c r="S31">
        <v>96</v>
      </c>
    </row>
    <row r="32" spans="2:19" x14ac:dyDescent="0.25">
      <c r="B32" t="s">
        <v>17</v>
      </c>
      <c r="C32" t="s">
        <v>49</v>
      </c>
      <c r="D32" s="34"/>
      <c r="E32" s="17" t="s">
        <v>45</v>
      </c>
      <c r="F32" s="65"/>
      <c r="G32" s="71"/>
      <c r="H32" s="65"/>
      <c r="I32" s="17" t="s">
        <v>45</v>
      </c>
      <c r="K32" s="17"/>
      <c r="L32" s="17" t="s">
        <v>45</v>
      </c>
      <c r="N32" s="17" t="s">
        <v>45</v>
      </c>
      <c r="R32" s="4">
        <v>92.4</v>
      </c>
      <c r="S32">
        <v>99</v>
      </c>
    </row>
    <row r="33" spans="2:20" x14ac:dyDescent="0.25">
      <c r="B33" t="s">
        <v>22</v>
      </c>
      <c r="C33" t="s">
        <v>10</v>
      </c>
      <c r="D33" s="35">
        <f>D11*D30</f>
        <v>19519689</v>
      </c>
      <c r="E33" s="17" t="s">
        <v>45</v>
      </c>
      <c r="F33" s="76"/>
      <c r="G33" s="76"/>
      <c r="H33" s="76"/>
      <c r="I33" s="17" t="s">
        <v>45</v>
      </c>
      <c r="J33" s="60">
        <f>157996597/J31</f>
        <v>7149167.2343540834</v>
      </c>
      <c r="K33" s="63" t="s">
        <v>66</v>
      </c>
      <c r="L33" s="17" t="s">
        <v>45</v>
      </c>
      <c r="M33" s="3" t="e">
        <f>H33/#REF!</f>
        <v>#REF!</v>
      </c>
      <c r="N33" s="17" t="s">
        <v>45</v>
      </c>
      <c r="R33" s="4">
        <v>145</v>
      </c>
      <c r="S33">
        <v>150</v>
      </c>
      <c r="T33">
        <f>R33*S35</f>
        <v>108.06558463067242</v>
      </c>
    </row>
    <row r="34" spans="2:20" x14ac:dyDescent="0.25">
      <c r="B34" t="s">
        <v>57</v>
      </c>
      <c r="C34" t="s">
        <v>10</v>
      </c>
      <c r="D34" s="2"/>
      <c r="E34" s="17" t="s">
        <v>45</v>
      </c>
      <c r="F34" s="65"/>
      <c r="G34" s="65"/>
      <c r="H34" s="65"/>
      <c r="I34" s="17" t="s">
        <v>45</v>
      </c>
      <c r="J34" s="60"/>
      <c r="K34" s="62" t="s">
        <v>67</v>
      </c>
      <c r="L34" s="17" t="s">
        <v>45</v>
      </c>
      <c r="N34" s="17" t="s">
        <v>45</v>
      </c>
      <c r="R34" s="4">
        <f>SUM(R24:R33)</f>
        <v>603.79999999999995</v>
      </c>
      <c r="S34">
        <f>SUM(S24:S33)</f>
        <v>553</v>
      </c>
    </row>
    <row r="35" spans="2:20" x14ac:dyDescent="0.25">
      <c r="B35" t="s">
        <v>24</v>
      </c>
      <c r="C35" t="s">
        <v>25</v>
      </c>
      <c r="D35" s="35">
        <f>D29/(D7*1000000)</f>
        <v>3.738995788655862</v>
      </c>
      <c r="E35" s="17" t="s">
        <v>45</v>
      </c>
      <c r="F35" s="76"/>
      <c r="G35" s="76"/>
      <c r="H35" s="76"/>
      <c r="I35" s="17" t="s">
        <v>45</v>
      </c>
      <c r="J35" s="35">
        <f>J16/(J7*1000000)</f>
        <v>0.73451728127987126</v>
      </c>
      <c r="K35" s="17" t="s">
        <v>63</v>
      </c>
      <c r="L35" s="17" t="s">
        <v>45</v>
      </c>
      <c r="N35" s="17" t="s">
        <v>45</v>
      </c>
      <c r="Q35" t="s">
        <v>43</v>
      </c>
      <c r="R35" s="4">
        <v>450</v>
      </c>
      <c r="S35" s="16">
        <f>R35/R34</f>
        <v>0.74527989400463734</v>
      </c>
    </row>
    <row r="36" spans="2:20" x14ac:dyDescent="0.25">
      <c r="B36" t="s">
        <v>23</v>
      </c>
      <c r="C36" t="s">
        <v>56</v>
      </c>
      <c r="D36" s="27">
        <f>D29/(D33+D34)</f>
        <v>8.0450986244476645</v>
      </c>
      <c r="E36" s="17" t="s">
        <v>45</v>
      </c>
      <c r="F36" s="70"/>
      <c r="G36" s="70"/>
      <c r="H36" s="70"/>
      <c r="I36" s="17" t="s">
        <v>45</v>
      </c>
      <c r="J36" s="27">
        <f>J29/(J33+J34)</f>
        <v>28.762930458791885</v>
      </c>
      <c r="K36" s="17"/>
      <c r="L36" s="17" t="s">
        <v>45</v>
      </c>
      <c r="N36" s="17" t="s">
        <v>45</v>
      </c>
      <c r="Q36" t="s">
        <v>42</v>
      </c>
      <c r="R36" s="4">
        <f>R34-R35</f>
        <v>153.79999999999995</v>
      </c>
      <c r="S36" s="16">
        <f>R36/R34</f>
        <v>0.25472010599536266</v>
      </c>
    </row>
    <row r="37" spans="2:20" x14ac:dyDescent="0.25">
      <c r="E37" s="17" t="s">
        <v>45</v>
      </c>
      <c r="F37" s="65"/>
      <c r="G37" s="65"/>
      <c r="H37" s="65"/>
      <c r="I37" s="17" t="s">
        <v>45</v>
      </c>
      <c r="K37" s="17"/>
      <c r="L37" s="17" t="s">
        <v>45</v>
      </c>
      <c r="N37" s="17" t="s">
        <v>45</v>
      </c>
    </row>
    <row r="38" spans="2:20" ht="18" x14ac:dyDescent="0.35">
      <c r="B38" t="s">
        <v>32</v>
      </c>
      <c r="C38" t="s">
        <v>33</v>
      </c>
      <c r="D38" s="19">
        <v>60000</v>
      </c>
      <c r="E38" s="17" t="s">
        <v>45</v>
      </c>
      <c r="F38" s="77"/>
      <c r="G38" s="65"/>
      <c r="H38" s="69"/>
      <c r="I38" s="17" t="s">
        <v>45</v>
      </c>
      <c r="K38" s="17"/>
      <c r="L38" s="17" t="s">
        <v>45</v>
      </c>
      <c r="N38" s="17" t="s">
        <v>45</v>
      </c>
    </row>
    <row r="39" spans="2:20" x14ac:dyDescent="0.25">
      <c r="F39" s="5"/>
    </row>
    <row r="40" spans="2:20" x14ac:dyDescent="0.25">
      <c r="D40" s="3"/>
    </row>
    <row r="42" spans="2:20" ht="15.75" thickBot="1" x14ac:dyDescent="0.3"/>
    <row r="43" spans="2:20" x14ac:dyDescent="0.25">
      <c r="C43" s="43">
        <v>1</v>
      </c>
      <c r="D43" s="44">
        <v>75000000</v>
      </c>
      <c r="E43" s="45">
        <f>$D$24</f>
        <v>7.0000000000000007E-2</v>
      </c>
      <c r="F43" s="46">
        <f>D43*E43</f>
        <v>5250000.0000000009</v>
      </c>
      <c r="G43" s="48">
        <f>($D$43+$F$52)/$C$51</f>
        <v>11511485.260295518</v>
      </c>
      <c r="H43" s="49">
        <f>SUM($F$43:$F$51)</f>
        <v>28603367.343691301</v>
      </c>
    </row>
    <row r="44" spans="2:20" x14ac:dyDescent="0.25">
      <c r="C44" s="50">
        <v>2</v>
      </c>
      <c r="D44" s="41">
        <f t="shared" ref="D44:D51" si="0">D43+F43-G43</f>
        <v>68738514.73970449</v>
      </c>
      <c r="E44" s="39">
        <f t="shared" ref="E44:E51" si="1">$D$24</f>
        <v>7.0000000000000007E-2</v>
      </c>
      <c r="F44" s="40">
        <f t="shared" ref="F44:F51" si="2">D44*E44</f>
        <v>4811696.0317793144</v>
      </c>
      <c r="G44" s="41">
        <f t="shared" ref="G44:G51" si="3">($D$43+$F$52)/$C$51</f>
        <v>11511485.260295518</v>
      </c>
      <c r="H44" s="51"/>
    </row>
    <row r="45" spans="2:20" x14ac:dyDescent="0.25">
      <c r="C45" s="50">
        <v>3</v>
      </c>
      <c r="D45" s="41">
        <f t="shared" si="0"/>
        <v>62038725.511188291</v>
      </c>
      <c r="E45" s="39">
        <f t="shared" si="1"/>
        <v>7.0000000000000007E-2</v>
      </c>
      <c r="F45" s="40">
        <f t="shared" si="2"/>
        <v>4342710.785783181</v>
      </c>
      <c r="G45" s="41">
        <f t="shared" si="3"/>
        <v>11511485.260295518</v>
      </c>
      <c r="H45" s="51"/>
    </row>
    <row r="46" spans="2:20" x14ac:dyDescent="0.25">
      <c r="C46" s="50">
        <v>4</v>
      </c>
      <c r="D46" s="41">
        <f t="shared" si="0"/>
        <v>54869951.036675952</v>
      </c>
      <c r="E46" s="39">
        <f t="shared" si="1"/>
        <v>7.0000000000000007E-2</v>
      </c>
      <c r="F46" s="40">
        <f t="shared" si="2"/>
        <v>3840896.5725673172</v>
      </c>
      <c r="G46" s="41">
        <f t="shared" si="3"/>
        <v>11511485.260295518</v>
      </c>
      <c r="H46" s="51"/>
    </row>
    <row r="47" spans="2:20" x14ac:dyDescent="0.25">
      <c r="C47" s="50">
        <v>5</v>
      </c>
      <c r="D47" s="41">
        <f t="shared" si="0"/>
        <v>47199362.348947749</v>
      </c>
      <c r="E47" s="39">
        <f t="shared" si="1"/>
        <v>7.0000000000000007E-2</v>
      </c>
      <c r="F47" s="40">
        <f t="shared" si="2"/>
        <v>3303955.3644263428</v>
      </c>
      <c r="G47" s="41">
        <f t="shared" si="3"/>
        <v>11511485.260295518</v>
      </c>
      <c r="H47" s="51"/>
    </row>
    <row r="48" spans="2:20" x14ac:dyDescent="0.25">
      <c r="C48" s="50">
        <v>6</v>
      </c>
      <c r="D48" s="41">
        <f t="shared" si="0"/>
        <v>38991832.453078575</v>
      </c>
      <c r="E48" s="39">
        <f t="shared" si="1"/>
        <v>7.0000000000000007E-2</v>
      </c>
      <c r="F48" s="40">
        <f t="shared" si="2"/>
        <v>2729428.2717155004</v>
      </c>
      <c r="G48" s="41">
        <f t="shared" si="3"/>
        <v>11511485.260295518</v>
      </c>
      <c r="H48" s="51"/>
    </row>
    <row r="49" spans="3:8" x14ac:dyDescent="0.25">
      <c r="C49" s="50">
        <v>7</v>
      </c>
      <c r="D49" s="41">
        <f t="shared" si="0"/>
        <v>30209775.464498557</v>
      </c>
      <c r="E49" s="39">
        <f t="shared" si="1"/>
        <v>7.0000000000000007E-2</v>
      </c>
      <c r="F49" s="40">
        <f t="shared" si="2"/>
        <v>2114684.282514899</v>
      </c>
      <c r="G49" s="41">
        <f t="shared" si="3"/>
        <v>11511485.260295518</v>
      </c>
      <c r="H49" s="51"/>
    </row>
    <row r="50" spans="3:8" x14ac:dyDescent="0.25">
      <c r="C50" s="50">
        <v>8</v>
      </c>
      <c r="D50" s="41">
        <f t="shared" si="0"/>
        <v>20812974.486717939</v>
      </c>
      <c r="E50" s="39">
        <f t="shared" si="1"/>
        <v>7.0000000000000007E-2</v>
      </c>
      <c r="F50" s="40">
        <f t="shared" si="2"/>
        <v>1456908.2140702559</v>
      </c>
      <c r="G50" s="41">
        <f t="shared" si="3"/>
        <v>11511485.260295518</v>
      </c>
      <c r="H50" s="51"/>
    </row>
    <row r="51" spans="3:8" x14ac:dyDescent="0.25">
      <c r="C51" s="50">
        <v>9</v>
      </c>
      <c r="D51" s="41">
        <f t="shared" si="0"/>
        <v>10758397.440492678</v>
      </c>
      <c r="E51" s="39">
        <f t="shared" si="1"/>
        <v>7.0000000000000007E-2</v>
      </c>
      <c r="F51" s="40">
        <f t="shared" si="2"/>
        <v>753087.82083448756</v>
      </c>
      <c r="G51" s="41">
        <f t="shared" si="3"/>
        <v>11511485.260295518</v>
      </c>
      <c r="H51" s="51"/>
    </row>
    <row r="52" spans="3:8" x14ac:dyDescent="0.25">
      <c r="C52" s="50"/>
      <c r="D52" s="41">
        <f>D43+F52</f>
        <v>103603367.34265965</v>
      </c>
      <c r="E52" s="37"/>
      <c r="F52" s="40">
        <v>28603367.34265966</v>
      </c>
      <c r="G52" s="41">
        <f>SUM(G43:G51)</f>
        <v>103603367.34265965</v>
      </c>
      <c r="H52" s="52"/>
    </row>
    <row r="53" spans="3:8" x14ac:dyDescent="0.25">
      <c r="C53" s="53"/>
      <c r="D53" s="6"/>
      <c r="E53" s="6"/>
      <c r="F53" s="6"/>
      <c r="G53" s="6"/>
      <c r="H53" s="54"/>
    </row>
    <row r="54" spans="3:8" x14ac:dyDescent="0.25">
      <c r="C54" s="50">
        <v>1</v>
      </c>
      <c r="D54" s="38">
        <v>25000000</v>
      </c>
      <c r="E54" s="39">
        <f>$D$24</f>
        <v>7.0000000000000007E-2</v>
      </c>
      <c r="F54" s="40">
        <f>D54*E54</f>
        <v>1750000.0000000002</v>
      </c>
      <c r="G54" s="41">
        <f>($D$54+$F$63)/$C$62</f>
        <v>3837161.7534318408</v>
      </c>
      <c r="H54" s="55">
        <f>SUM($F$54:$F$62)</f>
        <v>9534455.7812304255</v>
      </c>
    </row>
    <row r="55" spans="3:8" x14ac:dyDescent="0.25">
      <c r="C55" s="50">
        <v>2</v>
      </c>
      <c r="D55" s="41">
        <f t="shared" ref="D55:D62" si="4">D54+F54-G54</f>
        <v>22912838.246568158</v>
      </c>
      <c r="E55" s="39">
        <f t="shared" ref="E55:E62" si="5">$D$24</f>
        <v>7.0000000000000007E-2</v>
      </c>
      <c r="F55" s="40">
        <f t="shared" ref="F55:F62" si="6">D55*E55</f>
        <v>1603898.6772597712</v>
      </c>
      <c r="G55" s="41">
        <f t="shared" ref="G55:G62" si="7">($D$54+$F$63)/$C$62</f>
        <v>3837161.7534318408</v>
      </c>
      <c r="H55" s="51"/>
    </row>
    <row r="56" spans="3:8" x14ac:dyDescent="0.25">
      <c r="C56" s="50">
        <v>3</v>
      </c>
      <c r="D56" s="41">
        <f t="shared" si="4"/>
        <v>20679575.17039609</v>
      </c>
      <c r="E56" s="39">
        <f t="shared" si="5"/>
        <v>7.0000000000000007E-2</v>
      </c>
      <c r="F56" s="40">
        <f t="shared" si="6"/>
        <v>1447570.2619277264</v>
      </c>
      <c r="G56" s="41">
        <f t="shared" si="7"/>
        <v>3837161.7534318408</v>
      </c>
      <c r="H56" s="51"/>
    </row>
    <row r="57" spans="3:8" x14ac:dyDescent="0.25">
      <c r="C57" s="50">
        <v>4</v>
      </c>
      <c r="D57" s="41">
        <f t="shared" si="4"/>
        <v>18289983.678891975</v>
      </c>
      <c r="E57" s="39">
        <f t="shared" si="5"/>
        <v>7.0000000000000007E-2</v>
      </c>
      <c r="F57" s="40">
        <f t="shared" si="6"/>
        <v>1280298.8575224385</v>
      </c>
      <c r="G57" s="41">
        <f t="shared" si="7"/>
        <v>3837161.7534318408</v>
      </c>
      <c r="H57" s="51"/>
    </row>
    <row r="58" spans="3:8" x14ac:dyDescent="0.25">
      <c r="C58" s="50">
        <v>5</v>
      </c>
      <c r="D58" s="41">
        <f t="shared" si="4"/>
        <v>15733120.782982573</v>
      </c>
      <c r="E58" s="39">
        <f t="shared" si="5"/>
        <v>7.0000000000000007E-2</v>
      </c>
      <c r="F58" s="40">
        <f t="shared" si="6"/>
        <v>1101318.4548087802</v>
      </c>
      <c r="G58" s="41">
        <f t="shared" si="7"/>
        <v>3837161.7534318408</v>
      </c>
      <c r="H58" s="51"/>
    </row>
    <row r="59" spans="3:8" x14ac:dyDescent="0.25">
      <c r="C59" s="50">
        <v>6</v>
      </c>
      <c r="D59" s="41">
        <f t="shared" si="4"/>
        <v>12997277.48435951</v>
      </c>
      <c r="E59" s="39">
        <f t="shared" si="5"/>
        <v>7.0000000000000007E-2</v>
      </c>
      <c r="F59" s="40">
        <f t="shared" si="6"/>
        <v>909809.42390516575</v>
      </c>
      <c r="G59" s="41">
        <f t="shared" si="7"/>
        <v>3837161.7534318408</v>
      </c>
      <c r="H59" s="51"/>
    </row>
    <row r="60" spans="3:8" x14ac:dyDescent="0.25">
      <c r="C60" s="50">
        <v>7</v>
      </c>
      <c r="D60" s="41">
        <f t="shared" si="4"/>
        <v>10069925.154832836</v>
      </c>
      <c r="E60" s="39">
        <f t="shared" si="5"/>
        <v>7.0000000000000007E-2</v>
      </c>
      <c r="F60" s="40">
        <f t="shared" si="6"/>
        <v>704894.76083829859</v>
      </c>
      <c r="G60" s="41">
        <f t="shared" si="7"/>
        <v>3837161.7534318408</v>
      </c>
      <c r="H60" s="51"/>
    </row>
    <row r="61" spans="3:8" x14ac:dyDescent="0.25">
      <c r="C61" s="50">
        <v>8</v>
      </c>
      <c r="D61" s="41">
        <f t="shared" si="4"/>
        <v>6937658.1622392936</v>
      </c>
      <c r="E61" s="39">
        <f t="shared" si="5"/>
        <v>7.0000000000000007E-2</v>
      </c>
      <c r="F61" s="40">
        <f t="shared" si="6"/>
        <v>485636.07135675062</v>
      </c>
      <c r="G61" s="41">
        <f t="shared" si="7"/>
        <v>3837161.7534318408</v>
      </c>
      <c r="H61" s="51"/>
    </row>
    <row r="62" spans="3:8" x14ac:dyDescent="0.25">
      <c r="C62" s="50">
        <v>9</v>
      </c>
      <c r="D62" s="41">
        <f t="shared" si="4"/>
        <v>3586132.4801642038</v>
      </c>
      <c r="E62" s="39">
        <f t="shared" si="5"/>
        <v>7.0000000000000007E-2</v>
      </c>
      <c r="F62" s="40">
        <f t="shared" si="6"/>
        <v>251029.27361149428</v>
      </c>
      <c r="G62" s="41">
        <f t="shared" si="7"/>
        <v>3837161.7534318408</v>
      </c>
      <c r="H62" s="51"/>
    </row>
    <row r="63" spans="3:8" x14ac:dyDescent="0.25">
      <c r="C63" s="50"/>
      <c r="D63" s="41">
        <f>D54+F63</f>
        <v>34534455.780886568</v>
      </c>
      <c r="E63" s="37"/>
      <c r="F63" s="40">
        <f>28603367.3426597/3</f>
        <v>9534455.7808865663</v>
      </c>
      <c r="G63" s="41">
        <f>SUM(G54:G62)</f>
        <v>34534455.780886568</v>
      </c>
      <c r="H63" s="51"/>
    </row>
    <row r="64" spans="3:8" x14ac:dyDescent="0.25">
      <c r="C64" s="53"/>
      <c r="D64" s="6"/>
      <c r="E64" s="6"/>
      <c r="F64" s="6"/>
      <c r="G64" s="6"/>
      <c r="H64" s="54"/>
    </row>
    <row r="65" spans="3:8" ht="15.75" thickBot="1" x14ac:dyDescent="0.3">
      <c r="C65" s="56"/>
      <c r="D65" s="57"/>
      <c r="E65" s="57"/>
      <c r="F65" s="57"/>
      <c r="G65" s="58">
        <f>G43+G54</f>
        <v>15348647.013727359</v>
      </c>
      <c r="H65" s="59">
        <f>H43+H54</f>
        <v>38137823.124921724</v>
      </c>
    </row>
  </sheetData>
  <hyperlinks>
    <hyperlink ref="J3" r:id="rId1" xr:uid="{F06C6E8B-CB62-4C5F-A249-45C3A28CD868}"/>
    <hyperlink ref="D3" r:id="rId2" xr:uid="{F3E85F18-2C72-41C2-B9FB-F85E09282623}"/>
    <hyperlink ref="K6" r:id="rId3" xr:uid="{C97D8FC9-8E1B-4D16-985C-3913D9A1A94D}"/>
    <hyperlink ref="K11" r:id="rId4" xr:uid="{21999FCE-18D4-4CD8-9D0A-27F7D755F25A}"/>
    <hyperlink ref="K12" r:id="rId5" xr:uid="{20FBA4E8-26CA-403C-ADB1-FBDC6001397E}"/>
    <hyperlink ref="K7" r:id="rId6" xr:uid="{0925BE63-0DCE-4BE8-B7CF-6FCB36643867}"/>
    <hyperlink ref="K15" r:id="rId7" xr:uid="{81DD3623-281E-4900-8030-423CBB92B481}"/>
    <hyperlink ref="K16" r:id="rId8" xr:uid="{823CBC1B-9C07-4F24-9022-FE079ED2CFDC}"/>
    <hyperlink ref="K19" r:id="rId9" xr:uid="{BD499B6D-0521-440C-ABAD-97F3B0540E2F}"/>
    <hyperlink ref="K20" r:id="rId10" xr:uid="{1D252CDC-CD3D-46A4-992D-FEBF84B857D0}"/>
    <hyperlink ref="K21" r:id="rId11" xr:uid="{6BAB4D63-6CCE-487F-A43C-D5528B328923}"/>
    <hyperlink ref="K22" r:id="rId12" xr:uid="{8390D654-02E1-4288-A7F7-5EDBF2A1C14E}"/>
    <hyperlink ref="K23" r:id="rId13" xr:uid="{F9138293-8D0A-400A-9E99-B83535548F6D}"/>
    <hyperlink ref="K24" r:id="rId14" xr:uid="{64CEE46E-BCCA-4E7A-AC8F-27B6570987E3}"/>
    <hyperlink ref="K31" r:id="rId15" xr:uid="{E06EF808-B2ED-4D7A-8649-D6532E3BF68F}"/>
    <hyperlink ref="K33" r:id="rId16" xr:uid="{D22AC701-1D92-439E-B4F3-BEE28E255EE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82F01-473D-4471-8D72-B640C4010BD8}">
  <dimension ref="A2:L51"/>
  <sheetViews>
    <sheetView topLeftCell="B1" zoomScaleNormal="100" workbookViewId="0">
      <selection activeCell="D28" sqref="D28"/>
    </sheetView>
  </sheetViews>
  <sheetFormatPr baseColWidth="10" defaultColWidth="9.140625" defaultRowHeight="15" x14ac:dyDescent="0.25"/>
  <cols>
    <col min="2" max="2" width="30.140625" customWidth="1"/>
    <col min="3" max="3" width="10.85546875" bestFit="1" customWidth="1"/>
    <col min="4" max="4" width="20.5703125" customWidth="1"/>
    <col min="5" max="6" width="12.42578125" customWidth="1"/>
    <col min="9" max="9" width="12.42578125" customWidth="1"/>
    <col min="10" max="10" width="24.5703125" customWidth="1"/>
    <col min="11" max="11" width="12.42578125" customWidth="1"/>
  </cols>
  <sheetData>
    <row r="2" spans="1:12" x14ac:dyDescent="0.25">
      <c r="E2" s="17"/>
      <c r="F2" s="17" t="s">
        <v>45</v>
      </c>
    </row>
    <row r="3" spans="1:12" x14ac:dyDescent="0.25">
      <c r="D3" s="15"/>
      <c r="E3" s="17"/>
      <c r="F3" s="17" t="s">
        <v>45</v>
      </c>
    </row>
    <row r="4" spans="1:12" x14ac:dyDescent="0.25">
      <c r="A4" s="6" t="s">
        <v>28</v>
      </c>
      <c r="D4" s="12" t="s">
        <v>35</v>
      </c>
      <c r="E4" s="17"/>
      <c r="F4" s="17" t="s">
        <v>45</v>
      </c>
    </row>
    <row r="5" spans="1:12" x14ac:dyDescent="0.25">
      <c r="A5" s="6"/>
      <c r="B5" s="6" t="s">
        <v>46</v>
      </c>
      <c r="D5" t="s">
        <v>38</v>
      </c>
      <c r="E5" s="17"/>
      <c r="F5" s="17" t="s">
        <v>45</v>
      </c>
    </row>
    <row r="6" spans="1:12" ht="30" x14ac:dyDescent="0.25">
      <c r="A6" s="6"/>
      <c r="B6" s="26" t="s">
        <v>47</v>
      </c>
      <c r="D6" s="61" t="s">
        <v>61</v>
      </c>
      <c r="E6" s="63" t="s">
        <v>39</v>
      </c>
      <c r="F6" s="42" t="s">
        <v>60</v>
      </c>
      <c r="I6" s="81"/>
      <c r="J6" s="81"/>
      <c r="K6" s="82"/>
      <c r="L6" s="81"/>
    </row>
    <row r="7" spans="1:12" x14ac:dyDescent="0.25">
      <c r="A7" s="6"/>
      <c r="B7" s="6" t="s">
        <v>5</v>
      </c>
      <c r="C7" t="s">
        <v>6</v>
      </c>
      <c r="D7" s="10">
        <v>198.77</v>
      </c>
      <c r="E7" s="63" t="s">
        <v>40</v>
      </c>
      <c r="F7" s="17" t="s">
        <v>45</v>
      </c>
      <c r="I7" s="78"/>
      <c r="K7" s="3"/>
    </row>
    <row r="8" spans="1:12" x14ac:dyDescent="0.25">
      <c r="A8" s="6"/>
      <c r="B8" s="6"/>
      <c r="C8" t="s">
        <v>7</v>
      </c>
      <c r="D8" s="36">
        <f>1000*D7</f>
        <v>198770</v>
      </c>
      <c r="E8" s="17" t="s">
        <v>63</v>
      </c>
      <c r="F8" s="17" t="s">
        <v>45</v>
      </c>
      <c r="I8" s="78"/>
      <c r="K8" s="3"/>
    </row>
    <row r="9" spans="1:12" x14ac:dyDescent="0.25">
      <c r="A9" s="6"/>
      <c r="B9" s="6" t="s">
        <v>9</v>
      </c>
      <c r="C9" t="s">
        <v>11</v>
      </c>
      <c r="D9" s="18">
        <v>5.2322220000000002</v>
      </c>
      <c r="E9" s="17" t="s">
        <v>63</v>
      </c>
      <c r="F9" s="17" t="s">
        <v>45</v>
      </c>
      <c r="I9" s="78"/>
      <c r="K9" s="3"/>
    </row>
    <row r="10" spans="1:12" x14ac:dyDescent="0.25">
      <c r="A10" s="6"/>
      <c r="B10" s="6" t="s">
        <v>8</v>
      </c>
      <c r="C10" t="s">
        <v>50</v>
      </c>
      <c r="D10" s="27">
        <f>D7*365*D9/1000</f>
        <v>379.60319993310003</v>
      </c>
      <c r="E10" s="17" t="s">
        <v>63</v>
      </c>
      <c r="F10" s="17" t="s">
        <v>45</v>
      </c>
      <c r="I10" s="78"/>
      <c r="K10" s="3"/>
    </row>
    <row r="11" spans="1:12" x14ac:dyDescent="0.25">
      <c r="A11" s="6"/>
      <c r="B11" s="6" t="s">
        <v>8</v>
      </c>
      <c r="C11" t="s">
        <v>51</v>
      </c>
      <c r="D11" s="27">
        <f>1000*D10</f>
        <v>379603.19993310003</v>
      </c>
      <c r="E11" s="63" t="s">
        <v>39</v>
      </c>
      <c r="F11" s="17" t="s">
        <v>45</v>
      </c>
      <c r="I11" s="78"/>
      <c r="K11" s="3"/>
    </row>
    <row r="12" spans="1:12" x14ac:dyDescent="0.25">
      <c r="A12" s="6"/>
      <c r="B12" s="9" t="s">
        <v>57</v>
      </c>
      <c r="C12" t="s">
        <v>62</v>
      </c>
      <c r="D12" s="21">
        <v>434486</v>
      </c>
      <c r="E12" s="63" t="s">
        <v>39</v>
      </c>
      <c r="F12" s="17" t="s">
        <v>45</v>
      </c>
      <c r="I12" s="78"/>
      <c r="K12" s="3"/>
    </row>
    <row r="13" spans="1:12" x14ac:dyDescent="0.25">
      <c r="A13" s="6"/>
      <c r="B13" s="9" t="s">
        <v>18</v>
      </c>
      <c r="E13" s="17"/>
      <c r="F13" s="17" t="s">
        <v>45</v>
      </c>
      <c r="K13" s="13"/>
    </row>
    <row r="14" spans="1:12" x14ac:dyDescent="0.25">
      <c r="A14" s="6"/>
      <c r="B14" s="9" t="s">
        <v>34</v>
      </c>
      <c r="C14" t="s">
        <v>19</v>
      </c>
      <c r="E14" s="17"/>
      <c r="F14" s="17" t="s">
        <v>45</v>
      </c>
      <c r="K14" s="13"/>
      <c r="L14" s="80"/>
    </row>
    <row r="15" spans="1:12" x14ac:dyDescent="0.25">
      <c r="A15" s="6"/>
      <c r="B15" s="9" t="s">
        <v>36</v>
      </c>
      <c r="C15" t="s">
        <v>0</v>
      </c>
      <c r="D15" s="10">
        <v>500</v>
      </c>
      <c r="E15" s="63" t="s">
        <v>40</v>
      </c>
      <c r="F15" s="17" t="s">
        <v>45</v>
      </c>
      <c r="K15" s="13"/>
      <c r="L15" s="80"/>
    </row>
    <row r="16" spans="1:12" x14ac:dyDescent="0.25">
      <c r="B16" t="s">
        <v>2</v>
      </c>
      <c r="C16" t="s">
        <v>3</v>
      </c>
      <c r="D16" s="3">
        <v>146000000</v>
      </c>
      <c r="E16" s="63" t="s">
        <v>40</v>
      </c>
      <c r="F16" s="17" t="s">
        <v>45</v>
      </c>
    </row>
    <row r="17" spans="2:10" x14ac:dyDescent="0.25">
      <c r="B17" t="s">
        <v>4</v>
      </c>
      <c r="C17" t="s">
        <v>1</v>
      </c>
      <c r="D17" s="3">
        <v>11.72</v>
      </c>
      <c r="E17" s="17" t="s">
        <v>64</v>
      </c>
      <c r="F17" s="17" t="s">
        <v>45</v>
      </c>
    </row>
    <row r="18" spans="2:10" x14ac:dyDescent="0.25">
      <c r="B18" t="s">
        <v>4</v>
      </c>
      <c r="C18" t="s">
        <v>10</v>
      </c>
      <c r="D18" s="28">
        <f>D17*D8</f>
        <v>2329584.4</v>
      </c>
      <c r="E18" s="17" t="s">
        <v>63</v>
      </c>
      <c r="F18" s="17" t="s">
        <v>45</v>
      </c>
    </row>
    <row r="19" spans="2:10" x14ac:dyDescent="0.25">
      <c r="B19" t="s">
        <v>12</v>
      </c>
      <c r="C19" t="s">
        <v>13</v>
      </c>
      <c r="D19" s="64" t="s">
        <v>65</v>
      </c>
      <c r="E19" s="63" t="s">
        <v>39</v>
      </c>
      <c r="F19" s="17" t="s">
        <v>45</v>
      </c>
    </row>
    <row r="20" spans="2:10" x14ac:dyDescent="0.25">
      <c r="B20" t="s">
        <v>26</v>
      </c>
      <c r="C20" t="s">
        <v>13</v>
      </c>
      <c r="D20">
        <f>7/12</f>
        <v>0.58333333333333337</v>
      </c>
      <c r="E20" s="63" t="s">
        <v>39</v>
      </c>
      <c r="F20" s="17" t="s">
        <v>45</v>
      </c>
    </row>
    <row r="21" spans="2:10" x14ac:dyDescent="0.25">
      <c r="B21" t="s">
        <v>30</v>
      </c>
      <c r="C21" t="s">
        <v>31</v>
      </c>
      <c r="D21" s="14">
        <v>43483</v>
      </c>
      <c r="E21" s="63" t="s">
        <v>39</v>
      </c>
      <c r="F21" s="17" t="s">
        <v>45</v>
      </c>
    </row>
    <row r="22" spans="2:10" x14ac:dyDescent="0.25">
      <c r="B22" t="s">
        <v>14</v>
      </c>
      <c r="C22" t="s">
        <v>3</v>
      </c>
      <c r="D22">
        <v>0</v>
      </c>
      <c r="E22" s="63" t="s">
        <v>39</v>
      </c>
      <c r="F22" s="17" t="s">
        <v>45</v>
      </c>
    </row>
    <row r="23" spans="2:10" x14ac:dyDescent="0.25">
      <c r="B23" t="s">
        <v>15</v>
      </c>
      <c r="C23" t="s">
        <v>13</v>
      </c>
      <c r="D23">
        <v>0</v>
      </c>
      <c r="E23" s="63" t="s">
        <v>39</v>
      </c>
      <c r="F23" s="17" t="s">
        <v>45</v>
      </c>
    </row>
    <row r="24" spans="2:10" x14ac:dyDescent="0.25">
      <c r="B24" t="s">
        <v>16</v>
      </c>
      <c r="C24" t="s">
        <v>20</v>
      </c>
      <c r="D24">
        <v>0</v>
      </c>
      <c r="E24" s="63" t="s">
        <v>39</v>
      </c>
      <c r="F24" s="17" t="s">
        <v>45</v>
      </c>
      <c r="J24" s="4"/>
    </row>
    <row r="25" spans="2:10" x14ac:dyDescent="0.25">
      <c r="B25" t="s">
        <v>58</v>
      </c>
      <c r="C25" t="s">
        <v>3</v>
      </c>
      <c r="D25" s="33">
        <f>D16-D22</f>
        <v>146000000</v>
      </c>
      <c r="E25" s="17" t="s">
        <v>63</v>
      </c>
      <c r="F25" s="17" t="s">
        <v>45</v>
      </c>
      <c r="J25" s="4"/>
    </row>
    <row r="26" spans="2:10" x14ac:dyDescent="0.25">
      <c r="B26" t="s">
        <v>55</v>
      </c>
      <c r="C26" t="s">
        <v>3</v>
      </c>
      <c r="E26" s="17"/>
      <c r="F26" s="17" t="s">
        <v>45</v>
      </c>
      <c r="J26" s="4"/>
    </row>
    <row r="27" spans="2:10" x14ac:dyDescent="0.25">
      <c r="B27" t="s">
        <v>52</v>
      </c>
      <c r="C27" t="s">
        <v>3</v>
      </c>
      <c r="E27" s="17"/>
      <c r="F27" s="17" t="s">
        <v>45</v>
      </c>
      <c r="J27" s="4"/>
    </row>
    <row r="28" spans="2:10" x14ac:dyDescent="0.25">
      <c r="B28" t="s">
        <v>53</v>
      </c>
      <c r="C28" t="s">
        <v>3</v>
      </c>
      <c r="D28" s="32">
        <f>D18*MID(D19,12,2)</f>
        <v>46591688</v>
      </c>
      <c r="E28" s="17" t="s">
        <v>63</v>
      </c>
      <c r="F28" s="17" t="s">
        <v>45</v>
      </c>
      <c r="J28" s="4"/>
    </row>
    <row r="29" spans="2:10" x14ac:dyDescent="0.25">
      <c r="B29" t="s">
        <v>54</v>
      </c>
      <c r="C29" t="s">
        <v>3</v>
      </c>
      <c r="D29" s="33">
        <f>D16+D26+D27+D28</f>
        <v>192591688</v>
      </c>
      <c r="E29" s="17" t="s">
        <v>63</v>
      </c>
      <c r="F29" s="17" t="s">
        <v>45</v>
      </c>
      <c r="J29" s="4"/>
    </row>
    <row r="30" spans="2:10" x14ac:dyDescent="0.25">
      <c r="B30" t="s">
        <v>17</v>
      </c>
      <c r="C30" t="s">
        <v>21</v>
      </c>
      <c r="E30" s="17"/>
      <c r="F30" s="17" t="s">
        <v>45</v>
      </c>
      <c r="J30" s="4"/>
    </row>
    <row r="31" spans="2:10" x14ac:dyDescent="0.25">
      <c r="B31" t="s">
        <v>27</v>
      </c>
      <c r="C31" t="s">
        <v>37</v>
      </c>
      <c r="D31" s="23">
        <f>2904000000/131402714</f>
        <v>22.100000156769973</v>
      </c>
      <c r="E31" s="63" t="s">
        <v>39</v>
      </c>
      <c r="F31" s="17" t="s">
        <v>45</v>
      </c>
      <c r="J31" s="4"/>
    </row>
    <row r="32" spans="2:10" x14ac:dyDescent="0.25">
      <c r="B32" t="s">
        <v>17</v>
      </c>
      <c r="C32" t="s">
        <v>49</v>
      </c>
      <c r="E32" s="17"/>
      <c r="F32" s="17" t="s">
        <v>45</v>
      </c>
      <c r="J32" s="4"/>
    </row>
    <row r="33" spans="2:11" x14ac:dyDescent="0.25">
      <c r="B33" t="s">
        <v>22</v>
      </c>
      <c r="C33" t="s">
        <v>10</v>
      </c>
      <c r="D33" s="60">
        <f>157996597/D31</f>
        <v>7149167.2343540834</v>
      </c>
      <c r="E33" s="63" t="s">
        <v>66</v>
      </c>
      <c r="F33" s="17" t="s">
        <v>45</v>
      </c>
      <c r="J33" s="4"/>
    </row>
    <row r="34" spans="2:11" x14ac:dyDescent="0.25">
      <c r="B34" t="s">
        <v>57</v>
      </c>
      <c r="C34" t="s">
        <v>10</v>
      </c>
      <c r="D34" s="60"/>
      <c r="E34" s="62" t="s">
        <v>67</v>
      </c>
      <c r="F34" s="17" t="s">
        <v>45</v>
      </c>
      <c r="J34" s="4"/>
    </row>
    <row r="35" spans="2:11" x14ac:dyDescent="0.25">
      <c r="B35" t="s">
        <v>24</v>
      </c>
      <c r="C35" t="s">
        <v>25</v>
      </c>
      <c r="D35" s="35">
        <f>D16/(D7*1000000)</f>
        <v>0.73451728127987126</v>
      </c>
      <c r="E35" s="17" t="s">
        <v>63</v>
      </c>
      <c r="F35" s="17" t="s">
        <v>45</v>
      </c>
      <c r="J35" s="4"/>
      <c r="K35" s="16"/>
    </row>
    <row r="36" spans="2:11" x14ac:dyDescent="0.25">
      <c r="B36" t="s">
        <v>23</v>
      </c>
      <c r="C36" t="s">
        <v>56</v>
      </c>
      <c r="D36" s="27">
        <f>D29/(D33+D34)</f>
        <v>26.939038028727882</v>
      </c>
      <c r="E36" s="17"/>
      <c r="F36" s="17" t="s">
        <v>45</v>
      </c>
      <c r="J36" s="4"/>
      <c r="K36" s="16"/>
    </row>
    <row r="37" spans="2:11" x14ac:dyDescent="0.25">
      <c r="E37" s="17"/>
      <c r="F37" s="17" t="s">
        <v>45</v>
      </c>
    </row>
    <row r="38" spans="2:11" ht="18" x14ac:dyDescent="0.35">
      <c r="B38" t="s">
        <v>32</v>
      </c>
      <c r="C38" t="s">
        <v>33</v>
      </c>
      <c r="E38" s="17"/>
      <c r="F38" s="17" t="s">
        <v>45</v>
      </c>
    </row>
    <row r="42" spans="2:11" x14ac:dyDescent="0.25">
      <c r="F42" s="11"/>
    </row>
    <row r="43" spans="2:11" x14ac:dyDescent="0.25">
      <c r="F43" s="78"/>
    </row>
    <row r="44" spans="2:11" x14ac:dyDescent="0.25">
      <c r="F44" s="78"/>
    </row>
    <row r="45" spans="2:11" x14ac:dyDescent="0.25">
      <c r="F45" s="78"/>
    </row>
    <row r="46" spans="2:11" x14ac:dyDescent="0.25">
      <c r="F46" s="78"/>
    </row>
    <row r="47" spans="2:11" x14ac:dyDescent="0.25">
      <c r="F47" s="78"/>
    </row>
    <row r="48" spans="2:11" x14ac:dyDescent="0.25">
      <c r="F48" s="78"/>
    </row>
    <row r="50" spans="7:7" x14ac:dyDescent="0.25">
      <c r="G50" s="80"/>
    </row>
    <row r="51" spans="7:7" x14ac:dyDescent="0.25">
      <c r="G51" s="80"/>
    </row>
  </sheetData>
  <hyperlinks>
    <hyperlink ref="E6" r:id="rId1" xr:uid="{E3D48016-1E9D-498B-A654-291FDA3B43C4}"/>
    <hyperlink ref="E11" r:id="rId2" xr:uid="{262E1D3A-19B1-4B25-BDC1-FFB28040A509}"/>
    <hyperlink ref="E12" r:id="rId3" xr:uid="{969039E9-BDF8-4489-8D8A-C425D506D011}"/>
    <hyperlink ref="E7" r:id="rId4" xr:uid="{FAC83772-48BD-4AB4-AEA9-43D12A7AA954}"/>
    <hyperlink ref="E15" r:id="rId5" xr:uid="{A9B1D8FB-F61D-4393-9F82-0CD7E23D651E}"/>
    <hyperlink ref="E16" r:id="rId6" xr:uid="{40EA682F-D917-41C4-A337-85F7CFBC0799}"/>
    <hyperlink ref="E19" r:id="rId7" xr:uid="{8AD174D5-6041-499E-951D-19D49909C3AD}"/>
    <hyperlink ref="E20" r:id="rId8" xr:uid="{073CA1BD-E574-4F30-BEA1-59009BA076A5}"/>
    <hyperlink ref="E21" r:id="rId9" xr:uid="{00FD23CE-6073-4515-A810-74B07F206286}"/>
    <hyperlink ref="E22" r:id="rId10" xr:uid="{4F1CD678-FD9C-4798-A03C-1946ED552948}"/>
    <hyperlink ref="E23" r:id="rId11" xr:uid="{7824C18C-0D63-471A-83FA-8803C17649B2}"/>
    <hyperlink ref="E24" r:id="rId12" xr:uid="{4EDADDE5-1878-45C6-BC3C-1B7A2C10C6B9}"/>
    <hyperlink ref="E31" r:id="rId13" xr:uid="{5A1B445A-232C-493A-A6EA-91F3A82EA02E}"/>
    <hyperlink ref="E33" r:id="rId14" xr:uid="{854D15BD-6E1B-473E-8A65-3BD268E6971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608AD-25F0-49C8-A917-48940511DE57}">
  <dimension ref="A2:Q80"/>
  <sheetViews>
    <sheetView topLeftCell="A44" zoomScaleNormal="100" workbookViewId="0">
      <selection activeCell="H28" sqref="H28"/>
    </sheetView>
  </sheetViews>
  <sheetFormatPr baseColWidth="10" defaultColWidth="9.140625" defaultRowHeight="15" x14ac:dyDescent="0.25"/>
  <cols>
    <col min="2" max="2" width="30.5703125" customWidth="1"/>
    <col min="3" max="3" width="12" customWidth="1"/>
    <col min="4" max="4" width="20.5703125" customWidth="1"/>
    <col min="5" max="5" width="34" customWidth="1"/>
    <col min="6" max="6" width="12.42578125" customWidth="1"/>
    <col min="9" max="9" width="12.42578125" customWidth="1"/>
    <col min="10" max="10" width="24.5703125" customWidth="1"/>
    <col min="11" max="11" width="12.42578125" customWidth="1"/>
    <col min="13" max="13" width="18.5703125" customWidth="1"/>
    <col min="15" max="17" width="18.5703125" customWidth="1"/>
  </cols>
  <sheetData>
    <row r="2" spans="1:12" x14ac:dyDescent="0.25">
      <c r="E2" s="17"/>
      <c r="F2" s="17" t="s">
        <v>45</v>
      </c>
    </row>
    <row r="3" spans="1:12" x14ac:dyDescent="0.25">
      <c r="D3" s="15"/>
      <c r="E3" s="17"/>
      <c r="F3" s="17" t="s">
        <v>45</v>
      </c>
    </row>
    <row r="4" spans="1:12" ht="15.75" thickBot="1" x14ac:dyDescent="0.3">
      <c r="A4" s="6" t="s">
        <v>28</v>
      </c>
      <c r="D4" s="12" t="s">
        <v>35</v>
      </c>
      <c r="E4" s="17"/>
      <c r="F4" s="17" t="s">
        <v>45</v>
      </c>
    </row>
    <row r="5" spans="1:12" x14ac:dyDescent="0.25">
      <c r="A5" s="6"/>
      <c r="B5" s="123" t="s">
        <v>46</v>
      </c>
      <c r="C5" s="124"/>
      <c r="D5" s="125" t="s">
        <v>38</v>
      </c>
      <c r="E5" s="179"/>
      <c r="F5" s="17" t="s">
        <v>45</v>
      </c>
    </row>
    <row r="6" spans="1:12" ht="30.75" thickBot="1" x14ac:dyDescent="0.3">
      <c r="A6" s="6"/>
      <c r="B6" s="128" t="s">
        <v>47</v>
      </c>
      <c r="C6" s="129"/>
      <c r="D6" s="130" t="s">
        <v>61</v>
      </c>
      <c r="E6" s="180" t="s">
        <v>39</v>
      </c>
      <c r="F6" s="42" t="s">
        <v>60</v>
      </c>
      <c r="I6" s="81" t="s">
        <v>68</v>
      </c>
      <c r="J6" s="81" t="s">
        <v>71</v>
      </c>
      <c r="K6" s="131" t="s">
        <v>95</v>
      </c>
      <c r="L6" s="81" t="s">
        <v>20</v>
      </c>
    </row>
    <row r="7" spans="1:12" x14ac:dyDescent="0.25">
      <c r="A7" s="6"/>
      <c r="B7" s="215" t="s">
        <v>5</v>
      </c>
      <c r="C7" s="126" t="s">
        <v>83</v>
      </c>
      <c r="D7" s="127">
        <v>198.77</v>
      </c>
      <c r="E7" s="180" t="s">
        <v>40</v>
      </c>
      <c r="F7" s="17" t="s">
        <v>45</v>
      </c>
      <c r="I7" s="132">
        <v>157</v>
      </c>
      <c r="J7" s="133" t="s">
        <v>69</v>
      </c>
      <c r="K7" s="134">
        <v>124.4</v>
      </c>
      <c r="L7" s="133"/>
    </row>
    <row r="8" spans="1:12" x14ac:dyDescent="0.25">
      <c r="A8" s="6"/>
      <c r="B8" s="216"/>
      <c r="C8" s="119" t="s">
        <v>84</v>
      </c>
      <c r="D8" s="111">
        <f>1000*D7</f>
        <v>198770</v>
      </c>
      <c r="E8" s="179" t="s">
        <v>63</v>
      </c>
      <c r="F8" s="17" t="s">
        <v>45</v>
      </c>
      <c r="I8" s="135">
        <v>51</v>
      </c>
      <c r="J8" s="136" t="s">
        <v>72</v>
      </c>
      <c r="K8" s="137">
        <v>99</v>
      </c>
      <c r="L8" s="136"/>
    </row>
    <row r="9" spans="1:12" x14ac:dyDescent="0.25">
      <c r="A9" s="6"/>
      <c r="B9" s="120" t="s">
        <v>9</v>
      </c>
      <c r="C9" s="119" t="s">
        <v>11</v>
      </c>
      <c r="D9" s="112">
        <v>5.2322220000000002</v>
      </c>
      <c r="E9" s="179" t="s">
        <v>63</v>
      </c>
      <c r="F9" s="17" t="s">
        <v>45</v>
      </c>
      <c r="G9">
        <v>4.5</v>
      </c>
      <c r="I9" s="132">
        <v>96</v>
      </c>
      <c r="J9" s="133" t="s">
        <v>73</v>
      </c>
      <c r="K9" s="134">
        <v>143</v>
      </c>
      <c r="L9" s="133"/>
    </row>
    <row r="10" spans="1:12" x14ac:dyDescent="0.25">
      <c r="A10" s="6"/>
      <c r="B10" s="217" t="s">
        <v>8</v>
      </c>
      <c r="C10" s="119" t="s">
        <v>50</v>
      </c>
      <c r="D10" s="93">
        <f>D7*365*D9/1000</f>
        <v>379.60319993310003</v>
      </c>
      <c r="E10" s="179" t="s">
        <v>63</v>
      </c>
      <c r="F10" s="17" t="s">
        <v>45</v>
      </c>
      <c r="I10" s="135">
        <v>99</v>
      </c>
      <c r="J10" s="136" t="s">
        <v>74</v>
      </c>
      <c r="K10" s="137">
        <v>92.4</v>
      </c>
      <c r="L10" s="136"/>
    </row>
    <row r="11" spans="1:12" x14ac:dyDescent="0.25">
      <c r="A11" s="6"/>
      <c r="B11" s="216" t="s">
        <v>8</v>
      </c>
      <c r="C11" s="119" t="s">
        <v>51</v>
      </c>
      <c r="D11" s="93">
        <f>1000*D10</f>
        <v>379603.19993310003</v>
      </c>
      <c r="E11" s="180" t="s">
        <v>39</v>
      </c>
      <c r="F11" s="17" t="s">
        <v>45</v>
      </c>
      <c r="I11" s="132">
        <v>217</v>
      </c>
      <c r="J11" s="133" t="s">
        <v>75</v>
      </c>
      <c r="K11" s="134">
        <v>168</v>
      </c>
      <c r="L11" s="133"/>
    </row>
    <row r="12" spans="1:12" x14ac:dyDescent="0.25">
      <c r="A12" s="6"/>
      <c r="B12" s="120" t="s">
        <v>57</v>
      </c>
      <c r="C12" s="119" t="s">
        <v>62</v>
      </c>
      <c r="D12" s="95">
        <v>434486</v>
      </c>
      <c r="E12" s="180" t="s">
        <v>39</v>
      </c>
      <c r="F12" s="17" t="s">
        <v>45</v>
      </c>
      <c r="I12" s="135">
        <v>150</v>
      </c>
      <c r="J12" s="136" t="s">
        <v>76</v>
      </c>
      <c r="K12" s="137">
        <v>145</v>
      </c>
      <c r="L12" s="136"/>
    </row>
    <row r="13" spans="1:12" x14ac:dyDescent="0.25">
      <c r="A13" s="6"/>
      <c r="B13" s="120" t="s">
        <v>18</v>
      </c>
      <c r="C13" s="119"/>
      <c r="D13" s="51"/>
      <c r="E13" s="179"/>
      <c r="F13" s="17" t="s">
        <v>45</v>
      </c>
      <c r="I13" s="133"/>
      <c r="J13" s="133" t="s">
        <v>77</v>
      </c>
      <c r="K13" s="138">
        <f>SUM(K7:K12)</f>
        <v>771.8</v>
      </c>
      <c r="L13" s="133"/>
    </row>
    <row r="14" spans="1:12" x14ac:dyDescent="0.25">
      <c r="A14" s="6"/>
      <c r="B14" s="120" t="s">
        <v>34</v>
      </c>
      <c r="C14" s="119" t="s">
        <v>19</v>
      </c>
      <c r="D14" s="51"/>
      <c r="E14" s="179"/>
      <c r="F14" s="17" t="s">
        <v>45</v>
      </c>
      <c r="I14" s="136"/>
      <c r="J14" s="136" t="s">
        <v>43</v>
      </c>
      <c r="K14" s="139">
        <v>450</v>
      </c>
      <c r="L14" s="140">
        <f>K14/K13</f>
        <v>0.58305260430163253</v>
      </c>
    </row>
    <row r="15" spans="1:12" x14ac:dyDescent="0.25">
      <c r="A15" s="6"/>
      <c r="B15" s="120" t="s">
        <v>36</v>
      </c>
      <c r="C15" s="119" t="s">
        <v>0</v>
      </c>
      <c r="D15" s="109">
        <v>500</v>
      </c>
      <c r="E15" s="180" t="s">
        <v>40</v>
      </c>
      <c r="F15" s="17" t="s">
        <v>45</v>
      </c>
      <c r="I15" s="133"/>
      <c r="J15" s="133" t="s">
        <v>42</v>
      </c>
      <c r="K15" s="138">
        <f>K13-K14</f>
        <v>321.79999999999995</v>
      </c>
      <c r="L15" s="141">
        <f>K15/K13</f>
        <v>0.41694739569836742</v>
      </c>
    </row>
    <row r="16" spans="1:12" x14ac:dyDescent="0.25">
      <c r="B16" s="120" t="s">
        <v>2</v>
      </c>
      <c r="C16" s="119" t="s">
        <v>3</v>
      </c>
      <c r="D16" s="113">
        <v>146000000</v>
      </c>
      <c r="E16" s="180" t="s">
        <v>40</v>
      </c>
      <c r="F16" s="17" t="s">
        <v>45</v>
      </c>
      <c r="I16" s="176" t="s">
        <v>94</v>
      </c>
      <c r="J16" s="177"/>
      <c r="K16" s="178"/>
      <c r="L16" s="177"/>
    </row>
    <row r="17" spans="2:12" x14ac:dyDescent="0.25">
      <c r="B17" s="120" t="s">
        <v>93</v>
      </c>
      <c r="C17" s="119" t="s">
        <v>1</v>
      </c>
      <c r="D17" s="113">
        <v>11.72</v>
      </c>
      <c r="E17" s="179" t="s">
        <v>64</v>
      </c>
      <c r="F17" s="17" t="s">
        <v>45</v>
      </c>
    </row>
    <row r="18" spans="2:12" x14ac:dyDescent="0.25">
      <c r="B18" s="120" t="s">
        <v>4</v>
      </c>
      <c r="C18" s="119" t="s">
        <v>10</v>
      </c>
      <c r="D18" s="96">
        <f>D17*D8</f>
        <v>2329584.4</v>
      </c>
      <c r="E18" s="179" t="s">
        <v>63</v>
      </c>
      <c r="F18" s="17" t="s">
        <v>45</v>
      </c>
      <c r="J18" t="s">
        <v>78</v>
      </c>
      <c r="K18">
        <v>18</v>
      </c>
      <c r="L18" t="s">
        <v>79</v>
      </c>
    </row>
    <row r="19" spans="2:12" x14ac:dyDescent="0.25">
      <c r="B19" s="120" t="s">
        <v>86</v>
      </c>
      <c r="C19" s="119" t="s">
        <v>56</v>
      </c>
      <c r="D19" s="97">
        <v>15</v>
      </c>
      <c r="E19" s="180" t="s">
        <v>39</v>
      </c>
      <c r="F19" s="17" t="s">
        <v>45</v>
      </c>
    </row>
    <row r="20" spans="2:12" x14ac:dyDescent="0.25">
      <c r="B20" s="120" t="s">
        <v>87</v>
      </c>
      <c r="C20" s="119" t="s">
        <v>56</v>
      </c>
      <c r="D20" s="97">
        <v>20</v>
      </c>
      <c r="E20" s="180" t="s">
        <v>39</v>
      </c>
      <c r="F20" s="17" t="s">
        <v>45</v>
      </c>
    </row>
    <row r="21" spans="2:12" x14ac:dyDescent="0.25">
      <c r="B21" s="120" t="s">
        <v>26</v>
      </c>
      <c r="C21" s="119" t="s">
        <v>56</v>
      </c>
      <c r="D21" s="110">
        <f>7/12</f>
        <v>0.58333333333333337</v>
      </c>
      <c r="E21" s="180" t="s">
        <v>39</v>
      </c>
      <c r="F21" s="17" t="s">
        <v>45</v>
      </c>
    </row>
    <row r="22" spans="2:12" x14ac:dyDescent="0.25">
      <c r="B22" s="120" t="s">
        <v>30</v>
      </c>
      <c r="C22" s="119" t="s">
        <v>85</v>
      </c>
      <c r="D22" s="114">
        <v>43483</v>
      </c>
      <c r="E22" s="180" t="s">
        <v>39</v>
      </c>
      <c r="F22" s="17" t="s">
        <v>45</v>
      </c>
    </row>
    <row r="23" spans="2:12" x14ac:dyDescent="0.25">
      <c r="B23" s="120" t="s">
        <v>14</v>
      </c>
      <c r="C23" s="119" t="s">
        <v>3</v>
      </c>
      <c r="D23" s="113">
        <f>L14*D16</f>
        <v>85125680.228038356</v>
      </c>
      <c r="E23" s="180" t="s">
        <v>39</v>
      </c>
      <c r="F23" s="17" t="s">
        <v>45</v>
      </c>
    </row>
    <row r="24" spans="2:12" x14ac:dyDescent="0.25">
      <c r="B24" s="120" t="s">
        <v>15</v>
      </c>
      <c r="C24" s="119" t="s">
        <v>56</v>
      </c>
      <c r="D24" s="109">
        <v>18</v>
      </c>
      <c r="E24" s="180" t="s">
        <v>39</v>
      </c>
      <c r="F24" s="17" t="s">
        <v>45</v>
      </c>
    </row>
    <row r="25" spans="2:12" x14ac:dyDescent="0.25">
      <c r="B25" s="120" t="s">
        <v>16</v>
      </c>
      <c r="C25" s="119" t="s">
        <v>20</v>
      </c>
      <c r="D25" s="115">
        <v>0.02</v>
      </c>
      <c r="E25" s="180" t="s">
        <v>39</v>
      </c>
      <c r="F25" s="17" t="s">
        <v>45</v>
      </c>
      <c r="J25" s="4"/>
    </row>
    <row r="26" spans="2:12" x14ac:dyDescent="0.25">
      <c r="B26" s="120" t="s">
        <v>58</v>
      </c>
      <c r="C26" s="119" t="s">
        <v>3</v>
      </c>
      <c r="D26" s="98">
        <f>D16-D23</f>
        <v>60874319.771961644</v>
      </c>
      <c r="E26" s="179" t="s">
        <v>63</v>
      </c>
      <c r="F26" s="17" t="s">
        <v>45</v>
      </c>
      <c r="J26" s="4"/>
    </row>
    <row r="27" spans="2:12" x14ac:dyDescent="0.25">
      <c r="B27" s="120" t="s">
        <v>55</v>
      </c>
      <c r="C27" s="119" t="s">
        <v>3</v>
      </c>
      <c r="D27" s="98">
        <f>O80</f>
        <v>12213691.952245731</v>
      </c>
      <c r="E27" s="179" t="s">
        <v>63</v>
      </c>
      <c r="F27" s="17" t="s">
        <v>45</v>
      </c>
      <c r="J27" s="4"/>
    </row>
    <row r="28" spans="2:12" x14ac:dyDescent="0.25">
      <c r="B28" s="120" t="s">
        <v>52</v>
      </c>
      <c r="C28" s="119" t="s">
        <v>3</v>
      </c>
      <c r="D28" s="98">
        <f>O59</f>
        <v>17079432.500032671</v>
      </c>
      <c r="E28" s="179" t="s">
        <v>63</v>
      </c>
      <c r="F28" s="17" t="s">
        <v>45</v>
      </c>
      <c r="J28" s="4"/>
    </row>
    <row r="29" spans="2:12" x14ac:dyDescent="0.25">
      <c r="B29" s="120" t="s">
        <v>53</v>
      </c>
      <c r="C29" s="119" t="s">
        <v>3</v>
      </c>
      <c r="D29" s="99">
        <f>D18*D20</f>
        <v>46591688</v>
      </c>
      <c r="E29" s="179" t="s">
        <v>63</v>
      </c>
      <c r="F29" s="17" t="s">
        <v>45</v>
      </c>
      <c r="J29" s="4"/>
    </row>
    <row r="30" spans="2:12" x14ac:dyDescent="0.25">
      <c r="B30" s="120" t="s">
        <v>54</v>
      </c>
      <c r="C30" s="119" t="s">
        <v>3</v>
      </c>
      <c r="D30" s="98">
        <f>D16+D27+D28+D29</f>
        <v>221884812.45227841</v>
      </c>
      <c r="E30" s="179" t="s">
        <v>63</v>
      </c>
      <c r="F30" s="17" t="s">
        <v>45</v>
      </c>
      <c r="J30" s="4"/>
    </row>
    <row r="31" spans="2:12" hidden="1" x14ac:dyDescent="0.25">
      <c r="B31" s="120" t="s">
        <v>17</v>
      </c>
      <c r="C31" s="119" t="s">
        <v>21</v>
      </c>
      <c r="D31" s="51"/>
      <c r="E31" s="179"/>
      <c r="F31" s="17" t="s">
        <v>45</v>
      </c>
      <c r="J31" s="4"/>
    </row>
    <row r="32" spans="2:12" x14ac:dyDescent="0.25">
      <c r="B32" s="120" t="s">
        <v>27</v>
      </c>
      <c r="C32" s="119" t="s">
        <v>37</v>
      </c>
      <c r="D32" s="100">
        <f>2904000000/131402714</f>
        <v>22.100000156769973</v>
      </c>
      <c r="E32" s="180" t="s">
        <v>39</v>
      </c>
      <c r="F32" s="17" t="s">
        <v>45</v>
      </c>
      <c r="J32" s="4"/>
    </row>
    <row r="33" spans="2:17" hidden="1" x14ac:dyDescent="0.25">
      <c r="B33" s="120" t="s">
        <v>17</v>
      </c>
      <c r="C33" s="119" t="s">
        <v>49</v>
      </c>
      <c r="D33" s="51"/>
      <c r="E33" s="179"/>
      <c r="F33" s="17" t="s">
        <v>45</v>
      </c>
      <c r="J33" s="4"/>
    </row>
    <row r="34" spans="2:17" x14ac:dyDescent="0.25">
      <c r="B34" s="120" t="s">
        <v>22</v>
      </c>
      <c r="C34" s="119" t="s">
        <v>10</v>
      </c>
      <c r="D34" s="105">
        <f>157996597/D32</f>
        <v>7149167.2343540834</v>
      </c>
      <c r="E34" s="180" t="s">
        <v>66</v>
      </c>
      <c r="F34" s="17" t="s">
        <v>45</v>
      </c>
      <c r="G34">
        <f>D34/D11</f>
        <v>18.833263880847234</v>
      </c>
      <c r="J34" s="4"/>
    </row>
    <row r="35" spans="2:17" x14ac:dyDescent="0.25">
      <c r="B35" s="120" t="s">
        <v>57</v>
      </c>
      <c r="C35" s="119" t="s">
        <v>10</v>
      </c>
      <c r="D35" s="108" t="s">
        <v>67</v>
      </c>
      <c r="E35" s="179" t="s">
        <v>67</v>
      </c>
      <c r="F35" s="17" t="s">
        <v>45</v>
      </c>
      <c r="G35" t="s">
        <v>104</v>
      </c>
      <c r="H35" t="s">
        <v>105</v>
      </c>
      <c r="J35" s="4"/>
    </row>
    <row r="36" spans="2:17" x14ac:dyDescent="0.25">
      <c r="B36" s="120" t="s">
        <v>24</v>
      </c>
      <c r="C36" s="119" t="s">
        <v>25</v>
      </c>
      <c r="D36" s="106">
        <f>D16/(D7*1000000)</f>
        <v>0.73451728127987126</v>
      </c>
      <c r="E36" s="179" t="s">
        <v>63</v>
      </c>
      <c r="F36" s="17" t="s">
        <v>45</v>
      </c>
      <c r="G36">
        <v>1</v>
      </c>
      <c r="H36" t="s">
        <v>106</v>
      </c>
      <c r="I36" t="s">
        <v>107</v>
      </c>
      <c r="J36" s="4"/>
      <c r="K36" s="16"/>
    </row>
    <row r="37" spans="2:17" ht="15.75" thickBot="1" x14ac:dyDescent="0.3">
      <c r="B37" s="121" t="s">
        <v>23</v>
      </c>
      <c r="C37" s="122" t="s">
        <v>56</v>
      </c>
      <c r="D37" s="107">
        <f>D30/(D34)</f>
        <v>31.03645574075389</v>
      </c>
      <c r="E37" s="179" t="s">
        <v>63</v>
      </c>
      <c r="F37" s="17" t="s">
        <v>45</v>
      </c>
      <c r="G37">
        <v>2</v>
      </c>
      <c r="H37" t="s">
        <v>108</v>
      </c>
      <c r="I37" t="s">
        <v>109</v>
      </c>
      <c r="J37" s="4"/>
      <c r="K37" s="16"/>
    </row>
    <row r="38" spans="2:17" x14ac:dyDescent="0.25">
      <c r="E38" s="17"/>
      <c r="F38" s="17" t="s">
        <v>45</v>
      </c>
      <c r="G38">
        <v>3</v>
      </c>
      <c r="H38" t="s">
        <v>110</v>
      </c>
      <c r="I38" t="s">
        <v>111</v>
      </c>
    </row>
    <row r="39" spans="2:17" ht="18.75" thickBot="1" x14ac:dyDescent="0.4">
      <c r="B39" t="s">
        <v>32</v>
      </c>
      <c r="C39" t="s">
        <v>33</v>
      </c>
      <c r="E39" s="17"/>
      <c r="F39" s="17" t="s">
        <v>45</v>
      </c>
    </row>
    <row r="40" spans="2:17" ht="15.75" thickBot="1" x14ac:dyDescent="0.3">
      <c r="L40" s="154" t="s">
        <v>96</v>
      </c>
      <c r="M40" s="155" t="s">
        <v>97</v>
      </c>
      <c r="N40" s="155" t="s">
        <v>98</v>
      </c>
      <c r="O40" s="155" t="s">
        <v>99</v>
      </c>
      <c r="P40" s="156" t="s">
        <v>100</v>
      </c>
    </row>
    <row r="41" spans="2:17" x14ac:dyDescent="0.25">
      <c r="L41" s="142">
        <v>1</v>
      </c>
      <c r="M41" s="143">
        <v>85125680.228038356</v>
      </c>
      <c r="N41" s="144">
        <f>$D$25</f>
        <v>0.02</v>
      </c>
      <c r="O41" s="145">
        <f>M41*N41</f>
        <v>1702513.6045607671</v>
      </c>
      <c r="P41" s="146">
        <f>($M$41+$O$59)/$L$58</f>
        <v>5678061.8182261689</v>
      </c>
      <c r="Q41" s="84">
        <f>SUM($O$41:$O$58)</f>
        <v>17079432.500032876</v>
      </c>
    </row>
    <row r="42" spans="2:17" x14ac:dyDescent="0.25">
      <c r="L42" s="94">
        <v>2</v>
      </c>
      <c r="M42" s="147">
        <f t="shared" ref="M42:M49" si="0">M41+O41-P41</f>
        <v>81150132.014372945</v>
      </c>
      <c r="N42" s="148">
        <f t="shared" ref="N42:N58" si="1">$D$25</f>
        <v>0.02</v>
      </c>
      <c r="O42" s="149">
        <f t="shared" ref="O42:O58" si="2">M42*N42</f>
        <v>1623002.6402874589</v>
      </c>
      <c r="P42" s="150">
        <f t="shared" ref="P42:P58" si="3">($M$41+$O$59)/$L$58</f>
        <v>5678061.8182261689</v>
      </c>
      <c r="Q42" s="85"/>
    </row>
    <row r="43" spans="2:17" x14ac:dyDescent="0.25">
      <c r="F43" s="11"/>
      <c r="L43" s="94">
        <v>3</v>
      </c>
      <c r="M43" s="147">
        <f t="shared" si="0"/>
        <v>77095072.83643423</v>
      </c>
      <c r="N43" s="148">
        <f t="shared" si="1"/>
        <v>0.02</v>
      </c>
      <c r="O43" s="149">
        <f t="shared" si="2"/>
        <v>1541901.4567286847</v>
      </c>
      <c r="P43" s="150">
        <f t="shared" si="3"/>
        <v>5678061.8182261689</v>
      </c>
      <c r="Q43" s="85"/>
    </row>
    <row r="44" spans="2:17" x14ac:dyDescent="0.25">
      <c r="F44" s="78"/>
      <c r="L44" s="94">
        <v>4</v>
      </c>
      <c r="M44" s="147">
        <f t="shared" si="0"/>
        <v>72958912.474936739</v>
      </c>
      <c r="N44" s="148">
        <f t="shared" si="1"/>
        <v>0.02</v>
      </c>
      <c r="O44" s="149">
        <f t="shared" si="2"/>
        <v>1459178.2494987347</v>
      </c>
      <c r="P44" s="150">
        <f t="shared" si="3"/>
        <v>5678061.8182261689</v>
      </c>
      <c r="Q44" s="85"/>
    </row>
    <row r="45" spans="2:17" x14ac:dyDescent="0.25">
      <c r="B45" s="11" t="s">
        <v>80</v>
      </c>
      <c r="C45" s="11" t="s">
        <v>81</v>
      </c>
      <c r="D45" s="11" t="s">
        <v>82</v>
      </c>
      <c r="F45" s="78"/>
      <c r="L45" s="94">
        <v>5</v>
      </c>
      <c r="M45" s="147">
        <f t="shared" si="0"/>
        <v>68740028.906209305</v>
      </c>
      <c r="N45" s="148">
        <f t="shared" si="1"/>
        <v>0.02</v>
      </c>
      <c r="O45" s="149">
        <f t="shared" si="2"/>
        <v>1374800.578124186</v>
      </c>
      <c r="P45" s="150">
        <f t="shared" si="3"/>
        <v>5678061.8182261689</v>
      </c>
      <c r="Q45" s="85"/>
    </row>
    <row r="46" spans="2:17" x14ac:dyDescent="0.25">
      <c r="B46" s="101" t="s">
        <v>5</v>
      </c>
      <c r="C46" t="s">
        <v>6</v>
      </c>
      <c r="D46" s="4">
        <v>198.77</v>
      </c>
      <c r="F46" s="78"/>
      <c r="L46" s="94">
        <v>6</v>
      </c>
      <c r="M46" s="147">
        <f t="shared" si="0"/>
        <v>64436767.666107319</v>
      </c>
      <c r="N46" s="148">
        <f t="shared" si="1"/>
        <v>0.02</v>
      </c>
      <c r="O46" s="149">
        <f t="shared" si="2"/>
        <v>1288735.3533221465</v>
      </c>
      <c r="P46" s="150">
        <f t="shared" si="3"/>
        <v>5678061.8182261689</v>
      </c>
      <c r="Q46" s="85"/>
    </row>
    <row r="47" spans="2:17" x14ac:dyDescent="0.25">
      <c r="B47" s="102"/>
      <c r="C47" s="103" t="s">
        <v>7</v>
      </c>
      <c r="D47" s="104">
        <v>198770</v>
      </c>
      <c r="F47" s="78"/>
      <c r="L47" s="94">
        <v>7</v>
      </c>
      <c r="M47" s="147">
        <f t="shared" si="0"/>
        <v>60047441.201203302</v>
      </c>
      <c r="N47" s="148">
        <f t="shared" si="1"/>
        <v>0.02</v>
      </c>
      <c r="O47" s="149">
        <f t="shared" si="2"/>
        <v>1200948.8240240661</v>
      </c>
      <c r="P47" s="150">
        <f t="shared" si="3"/>
        <v>5678061.8182261689</v>
      </c>
      <c r="Q47" s="85"/>
    </row>
    <row r="48" spans="2:17" x14ac:dyDescent="0.25">
      <c r="B48" t="s">
        <v>9</v>
      </c>
      <c r="C48" t="s">
        <v>11</v>
      </c>
      <c r="D48" s="4">
        <v>5.2322220000000002</v>
      </c>
      <c r="F48" s="78"/>
      <c r="L48" s="94">
        <v>8</v>
      </c>
      <c r="M48" s="147">
        <f t="shared" si="0"/>
        <v>55570328.207001202</v>
      </c>
      <c r="N48" s="148">
        <f t="shared" si="1"/>
        <v>0.02</v>
      </c>
      <c r="O48" s="149">
        <f t="shared" si="2"/>
        <v>1111406.5641400241</v>
      </c>
      <c r="P48" s="150">
        <f t="shared" si="3"/>
        <v>5678061.8182261689</v>
      </c>
      <c r="Q48" s="85"/>
    </row>
    <row r="49" spans="2:17" x14ac:dyDescent="0.25">
      <c r="B49" s="103" t="s">
        <v>8</v>
      </c>
      <c r="C49" s="103" t="s">
        <v>50</v>
      </c>
      <c r="D49" s="104">
        <v>379.60319993310003</v>
      </c>
      <c r="F49" s="78"/>
      <c r="L49" s="94">
        <v>9</v>
      </c>
      <c r="M49" s="147">
        <f t="shared" si="0"/>
        <v>51003672.952915058</v>
      </c>
      <c r="N49" s="148">
        <f t="shared" si="1"/>
        <v>0.02</v>
      </c>
      <c r="O49" s="149">
        <f t="shared" si="2"/>
        <v>1020073.4590583012</v>
      </c>
      <c r="P49" s="150">
        <f t="shared" si="3"/>
        <v>5678061.8182261689</v>
      </c>
      <c r="Q49" s="85"/>
    </row>
    <row r="50" spans="2:17" x14ac:dyDescent="0.25">
      <c r="B50" t="s">
        <v>8</v>
      </c>
      <c r="C50" t="s">
        <v>51</v>
      </c>
      <c r="D50" s="4">
        <v>379603.19993310003</v>
      </c>
      <c r="L50" s="94">
        <v>10</v>
      </c>
      <c r="M50" s="147">
        <f t="shared" ref="M50:M58" si="4">M49+O49-P49</f>
        <v>46345684.593747191</v>
      </c>
      <c r="N50" s="148">
        <f t="shared" si="1"/>
        <v>0.02</v>
      </c>
      <c r="O50" s="149">
        <f t="shared" si="2"/>
        <v>926913.69187494379</v>
      </c>
      <c r="P50" s="150">
        <f t="shared" si="3"/>
        <v>5678061.8182261689</v>
      </c>
      <c r="Q50" s="85"/>
    </row>
    <row r="51" spans="2:17" x14ac:dyDescent="0.25">
      <c r="G51" s="80"/>
      <c r="L51" s="94">
        <v>11</v>
      </c>
      <c r="M51" s="147">
        <f t="shared" si="4"/>
        <v>41594536.467395969</v>
      </c>
      <c r="N51" s="148">
        <f t="shared" si="1"/>
        <v>0.02</v>
      </c>
      <c r="O51" s="149">
        <f t="shared" si="2"/>
        <v>831890.72934791935</v>
      </c>
      <c r="P51" s="150">
        <f t="shared" si="3"/>
        <v>5678061.8182261689</v>
      </c>
      <c r="Q51" s="85"/>
    </row>
    <row r="52" spans="2:17" x14ac:dyDescent="0.25">
      <c r="G52" s="80"/>
      <c r="L52" s="94">
        <v>12</v>
      </c>
      <c r="M52" s="147">
        <f t="shared" si="4"/>
        <v>36748365.378517725</v>
      </c>
      <c r="N52" s="148">
        <f t="shared" si="1"/>
        <v>0.02</v>
      </c>
      <c r="O52" s="149">
        <f t="shared" si="2"/>
        <v>734967.30757035455</v>
      </c>
      <c r="P52" s="150">
        <f t="shared" si="3"/>
        <v>5678061.8182261689</v>
      </c>
      <c r="Q52" s="85"/>
    </row>
    <row r="53" spans="2:17" x14ac:dyDescent="0.25">
      <c r="L53" s="94">
        <v>13</v>
      </c>
      <c r="M53" s="147">
        <f t="shared" si="4"/>
        <v>31805270.867861908</v>
      </c>
      <c r="N53" s="148">
        <f t="shared" si="1"/>
        <v>0.02</v>
      </c>
      <c r="O53" s="149">
        <f t="shared" si="2"/>
        <v>636105.41735723813</v>
      </c>
      <c r="P53" s="150">
        <f t="shared" si="3"/>
        <v>5678061.8182261689</v>
      </c>
      <c r="Q53" s="85"/>
    </row>
    <row r="54" spans="2:17" x14ac:dyDescent="0.25">
      <c r="L54" s="94">
        <v>14</v>
      </c>
      <c r="M54" s="147">
        <f t="shared" si="4"/>
        <v>26763314.466992978</v>
      </c>
      <c r="N54" s="148">
        <f t="shared" si="1"/>
        <v>0.02</v>
      </c>
      <c r="O54" s="149">
        <f t="shared" si="2"/>
        <v>535266.28933985962</v>
      </c>
      <c r="P54" s="150">
        <f t="shared" si="3"/>
        <v>5678061.8182261689</v>
      </c>
      <c r="Q54" s="85"/>
    </row>
    <row r="55" spans="2:17" x14ac:dyDescent="0.25">
      <c r="L55" s="94">
        <v>15</v>
      </c>
      <c r="M55" s="147">
        <f t="shared" si="4"/>
        <v>21620518.938106667</v>
      </c>
      <c r="N55" s="148">
        <f t="shared" si="1"/>
        <v>0.02</v>
      </c>
      <c r="O55" s="149">
        <f t="shared" si="2"/>
        <v>432410.37876213336</v>
      </c>
      <c r="P55" s="150">
        <f t="shared" si="3"/>
        <v>5678061.8182261689</v>
      </c>
      <c r="Q55" s="85"/>
    </row>
    <row r="56" spans="2:17" x14ac:dyDescent="0.25">
      <c r="L56" s="94">
        <v>16</v>
      </c>
      <c r="M56" s="147">
        <f t="shared" si="4"/>
        <v>16374867.498642631</v>
      </c>
      <c r="N56" s="148">
        <f t="shared" si="1"/>
        <v>0.02</v>
      </c>
      <c r="O56" s="149">
        <f t="shared" si="2"/>
        <v>327497.34997285262</v>
      </c>
      <c r="P56" s="150">
        <f t="shared" si="3"/>
        <v>5678061.8182261689</v>
      </c>
      <c r="Q56" s="85"/>
    </row>
    <row r="57" spans="2:17" x14ac:dyDescent="0.25">
      <c r="L57" s="94">
        <v>17</v>
      </c>
      <c r="M57" s="147">
        <f t="shared" si="4"/>
        <v>11024303.030389316</v>
      </c>
      <c r="N57" s="148">
        <f t="shared" si="1"/>
        <v>0.02</v>
      </c>
      <c r="O57" s="149">
        <f t="shared" si="2"/>
        <v>220486.06060778632</v>
      </c>
      <c r="P57" s="150">
        <f t="shared" si="3"/>
        <v>5678061.8182261689</v>
      </c>
      <c r="Q57" s="85"/>
    </row>
    <row r="58" spans="2:17" ht="15.75" thickBot="1" x14ac:dyDescent="0.3">
      <c r="L58" s="157">
        <v>18</v>
      </c>
      <c r="M58" s="158">
        <f t="shared" si="4"/>
        <v>5566727.2727709347</v>
      </c>
      <c r="N58" s="159">
        <f t="shared" si="1"/>
        <v>0.02</v>
      </c>
      <c r="O58" s="160">
        <f t="shared" si="2"/>
        <v>111334.5454554187</v>
      </c>
      <c r="P58" s="161">
        <f t="shared" si="3"/>
        <v>5678061.8182261689</v>
      </c>
      <c r="Q58" s="116">
        <f>M58+O58-P58</f>
        <v>1.8440186977386475E-7</v>
      </c>
    </row>
    <row r="59" spans="2:17" ht="15.75" thickBot="1" x14ac:dyDescent="0.3">
      <c r="D59" s="3">
        <v>1368000</v>
      </c>
      <c r="L59" s="166"/>
      <c r="M59" s="167">
        <f>M41+O59</f>
        <v>102205112.72807103</v>
      </c>
      <c r="N59" s="168"/>
      <c r="O59" s="169">
        <v>17079432.500032671</v>
      </c>
      <c r="P59" s="170">
        <f>SUM(P41:P58)</f>
        <v>102205112.72807105</v>
      </c>
      <c r="Q59" s="153"/>
    </row>
    <row r="60" spans="2:17" ht="15.75" thickBot="1" x14ac:dyDescent="0.3">
      <c r="D60" s="3">
        <v>35000</v>
      </c>
      <c r="E60" s="79">
        <f>D60/$D$59</f>
        <v>2.5584795321637425E-2</v>
      </c>
    </row>
    <row r="61" spans="2:17" ht="15.75" thickBot="1" x14ac:dyDescent="0.3">
      <c r="D61" s="3">
        <v>95000</v>
      </c>
      <c r="E61" s="79">
        <f>D61/$D$59</f>
        <v>6.9444444444444448E-2</v>
      </c>
      <c r="L61" s="163" t="s">
        <v>96</v>
      </c>
      <c r="M61" s="164" t="s">
        <v>97</v>
      </c>
      <c r="N61" s="164" t="s">
        <v>98</v>
      </c>
      <c r="O61" s="164" t="s">
        <v>99</v>
      </c>
      <c r="P61" s="165" t="s">
        <v>100</v>
      </c>
    </row>
    <row r="62" spans="2:17" x14ac:dyDescent="0.25">
      <c r="D62" s="3">
        <v>126000</v>
      </c>
      <c r="E62" s="79">
        <f>D62/$D$59</f>
        <v>9.2105263157894732E-2</v>
      </c>
      <c r="L62" s="43">
        <v>1</v>
      </c>
      <c r="M62" s="44">
        <v>60874319.771961644</v>
      </c>
      <c r="N62" s="45">
        <f>$D$25</f>
        <v>0.02</v>
      </c>
      <c r="O62" s="46">
        <f>M62*N62</f>
        <v>1217486.3954392329</v>
      </c>
      <c r="P62" s="86">
        <f>($M$62+$O$80)/$L$79</f>
        <v>4060445.0957892984</v>
      </c>
      <c r="Q62" s="151">
        <f>SUM($O$62:$O$79)</f>
        <v>12213691.952245705</v>
      </c>
    </row>
    <row r="63" spans="2:17" x14ac:dyDescent="0.25">
      <c r="L63" s="50">
        <v>2</v>
      </c>
      <c r="M63" s="41">
        <f t="shared" ref="M63:M70" si="5">M62+O62-P62</f>
        <v>58031361.071611576</v>
      </c>
      <c r="N63" s="39">
        <f t="shared" ref="N63:N79" si="6">$D$25</f>
        <v>0.02</v>
      </c>
      <c r="O63" s="40">
        <f>M63*N63</f>
        <v>1160627.2214322316</v>
      </c>
      <c r="P63" s="52">
        <f>($M$62+$O$80)/$L$79</f>
        <v>4060445.0957892984</v>
      </c>
      <c r="Q63" s="152"/>
    </row>
    <row r="64" spans="2:17" x14ac:dyDescent="0.25">
      <c r="D64" s="3">
        <f>D60/1000</f>
        <v>35</v>
      </c>
      <c r="L64" s="50">
        <v>3</v>
      </c>
      <c r="M64" s="41">
        <f t="shared" si="5"/>
        <v>55131543.197254509</v>
      </c>
      <c r="N64" s="39">
        <f t="shared" si="6"/>
        <v>0.02</v>
      </c>
      <c r="O64" s="40">
        <f t="shared" ref="O64:O79" si="7">M64*N64</f>
        <v>1102630.8639450902</v>
      </c>
      <c r="P64" s="52">
        <f>($M$62+$O$80)/$L$79</f>
        <v>4060445.0957892984</v>
      </c>
      <c r="Q64" s="152"/>
    </row>
    <row r="65" spans="4:17" x14ac:dyDescent="0.25">
      <c r="D65" s="3">
        <f t="shared" ref="D65:D66" si="8">D61/1000</f>
        <v>95</v>
      </c>
      <c r="L65" s="50">
        <v>4</v>
      </c>
      <c r="M65" s="41">
        <f t="shared" si="5"/>
        <v>52173728.9654103</v>
      </c>
      <c r="N65" s="39">
        <f t="shared" si="6"/>
        <v>0.02</v>
      </c>
      <c r="O65" s="40">
        <f t="shared" si="7"/>
        <v>1043474.579308206</v>
      </c>
      <c r="P65" s="52">
        <f t="shared" ref="P65:P79" si="9">($M$62+$O$80)/$L$79</f>
        <v>4060445.0957892984</v>
      </c>
      <c r="Q65" s="152"/>
    </row>
    <row r="66" spans="4:17" x14ac:dyDescent="0.25">
      <c r="D66" s="3">
        <f t="shared" si="8"/>
        <v>126</v>
      </c>
      <c r="L66" s="50">
        <v>5</v>
      </c>
      <c r="M66" s="41">
        <f t="shared" si="5"/>
        <v>49156758.448929206</v>
      </c>
      <c r="N66" s="39">
        <f t="shared" si="6"/>
        <v>0.02</v>
      </c>
      <c r="O66" s="40">
        <f t="shared" si="7"/>
        <v>983135.16897858412</v>
      </c>
      <c r="P66" s="52">
        <f t="shared" si="9"/>
        <v>4060445.0957892984</v>
      </c>
      <c r="Q66" s="152"/>
    </row>
    <row r="67" spans="4:17" x14ac:dyDescent="0.25">
      <c r="L67" s="50">
        <v>6</v>
      </c>
      <c r="M67" s="41">
        <f t="shared" si="5"/>
        <v>46079448.522118494</v>
      </c>
      <c r="N67" s="39">
        <f t="shared" si="6"/>
        <v>0.02</v>
      </c>
      <c r="O67" s="40">
        <f t="shared" si="7"/>
        <v>921588.97044236993</v>
      </c>
      <c r="P67" s="52">
        <f t="shared" si="9"/>
        <v>4060445.0957892984</v>
      </c>
      <c r="Q67" s="152"/>
    </row>
    <row r="68" spans="4:17" x14ac:dyDescent="0.25">
      <c r="L68" s="50">
        <v>7</v>
      </c>
      <c r="M68" s="41">
        <f t="shared" si="5"/>
        <v>42940592.396771565</v>
      </c>
      <c r="N68" s="39">
        <f t="shared" si="6"/>
        <v>0.02</v>
      </c>
      <c r="O68" s="40">
        <f t="shared" si="7"/>
        <v>858811.84793543129</v>
      </c>
      <c r="P68" s="52">
        <f t="shared" si="9"/>
        <v>4060445.0957892984</v>
      </c>
      <c r="Q68" s="152"/>
    </row>
    <row r="69" spans="4:17" x14ac:dyDescent="0.25">
      <c r="L69" s="50">
        <v>8</v>
      </c>
      <c r="M69" s="41">
        <f t="shared" si="5"/>
        <v>39738959.148917697</v>
      </c>
      <c r="N69" s="39">
        <f t="shared" si="6"/>
        <v>0.02</v>
      </c>
      <c r="O69" s="40">
        <f t="shared" si="7"/>
        <v>794779.18297835393</v>
      </c>
      <c r="P69" s="52">
        <f t="shared" si="9"/>
        <v>4060445.0957892984</v>
      </c>
      <c r="Q69" s="152"/>
    </row>
    <row r="70" spans="4:17" x14ac:dyDescent="0.25">
      <c r="L70" s="50">
        <v>9</v>
      </c>
      <c r="M70" s="41">
        <f t="shared" si="5"/>
        <v>36473293.236106753</v>
      </c>
      <c r="N70" s="39">
        <f t="shared" si="6"/>
        <v>0.02</v>
      </c>
      <c r="O70" s="40">
        <f t="shared" si="7"/>
        <v>729465.86472213513</v>
      </c>
      <c r="P70" s="52">
        <f t="shared" si="9"/>
        <v>4060445.0957892984</v>
      </c>
      <c r="Q70" s="152"/>
    </row>
    <row r="71" spans="4:17" x14ac:dyDescent="0.25">
      <c r="L71" s="50">
        <v>10</v>
      </c>
      <c r="M71" s="41">
        <f t="shared" ref="M71:M79" si="10">M70+O70-P70</f>
        <v>33142314.005039588</v>
      </c>
      <c r="N71" s="39">
        <f t="shared" si="6"/>
        <v>0.02</v>
      </c>
      <c r="O71" s="40">
        <f t="shared" si="7"/>
        <v>662846.28010079172</v>
      </c>
      <c r="P71" s="52">
        <f t="shared" si="9"/>
        <v>4060445.0957892984</v>
      </c>
      <c r="Q71" s="152"/>
    </row>
    <row r="72" spans="4:17" x14ac:dyDescent="0.25">
      <c r="L72" s="50">
        <v>11</v>
      </c>
      <c r="M72" s="41">
        <f t="shared" si="10"/>
        <v>29744715.189351082</v>
      </c>
      <c r="N72" s="39">
        <f t="shared" si="6"/>
        <v>0.02</v>
      </c>
      <c r="O72" s="40">
        <f t="shared" si="7"/>
        <v>594894.30378702166</v>
      </c>
      <c r="P72" s="52">
        <f t="shared" si="9"/>
        <v>4060445.0957892984</v>
      </c>
      <c r="Q72" s="152"/>
    </row>
    <row r="73" spans="4:17" x14ac:dyDescent="0.25">
      <c r="L73" s="50">
        <v>12</v>
      </c>
      <c r="M73" s="41">
        <f t="shared" si="10"/>
        <v>26279164.397348806</v>
      </c>
      <c r="N73" s="39">
        <f t="shared" si="6"/>
        <v>0.02</v>
      </c>
      <c r="O73" s="40">
        <f t="shared" si="7"/>
        <v>525583.28794697614</v>
      </c>
      <c r="P73" s="52">
        <f t="shared" si="9"/>
        <v>4060445.0957892984</v>
      </c>
      <c r="Q73" s="152"/>
    </row>
    <row r="74" spans="4:17" x14ac:dyDescent="0.25">
      <c r="L74" s="50">
        <v>13</v>
      </c>
      <c r="M74" s="41">
        <f t="shared" si="10"/>
        <v>22744302.589506485</v>
      </c>
      <c r="N74" s="39">
        <f t="shared" si="6"/>
        <v>0.02</v>
      </c>
      <c r="O74" s="40">
        <f t="shared" si="7"/>
        <v>454886.05179012968</v>
      </c>
      <c r="P74" s="52">
        <f t="shared" si="9"/>
        <v>4060445.0957892984</v>
      </c>
      <c r="Q74" s="152"/>
    </row>
    <row r="75" spans="4:17" x14ac:dyDescent="0.25">
      <c r="L75" s="50">
        <v>14</v>
      </c>
      <c r="M75" s="41">
        <f t="shared" si="10"/>
        <v>19138743.545507316</v>
      </c>
      <c r="N75" s="39">
        <f t="shared" si="6"/>
        <v>0.02</v>
      </c>
      <c r="O75" s="40">
        <f t="shared" si="7"/>
        <v>382774.87091014633</v>
      </c>
      <c r="P75" s="52">
        <f t="shared" si="9"/>
        <v>4060445.0957892984</v>
      </c>
      <c r="Q75" s="152"/>
    </row>
    <row r="76" spans="4:17" x14ac:dyDescent="0.25">
      <c r="L76" s="50">
        <v>15</v>
      </c>
      <c r="M76" s="41">
        <f t="shared" si="10"/>
        <v>15461073.320628162</v>
      </c>
      <c r="N76" s="39">
        <f t="shared" si="6"/>
        <v>0.02</v>
      </c>
      <c r="O76" s="40">
        <f t="shared" si="7"/>
        <v>309221.46641256328</v>
      </c>
      <c r="P76" s="52">
        <f t="shared" si="9"/>
        <v>4060445.0957892984</v>
      </c>
      <c r="Q76" s="152"/>
    </row>
    <row r="77" spans="4:17" x14ac:dyDescent="0.25">
      <c r="L77" s="50">
        <v>16</v>
      </c>
      <c r="M77" s="41">
        <f t="shared" si="10"/>
        <v>11709849.691251427</v>
      </c>
      <c r="N77" s="39">
        <f t="shared" si="6"/>
        <v>0.02</v>
      </c>
      <c r="O77" s="40">
        <f t="shared" si="7"/>
        <v>234196.99382502853</v>
      </c>
      <c r="P77" s="52">
        <f t="shared" si="9"/>
        <v>4060445.0957892984</v>
      </c>
      <c r="Q77" s="152"/>
    </row>
    <row r="78" spans="4:17" x14ac:dyDescent="0.25">
      <c r="L78" s="50">
        <v>17</v>
      </c>
      <c r="M78" s="41">
        <f t="shared" si="10"/>
        <v>7883601.5892871562</v>
      </c>
      <c r="N78" s="39">
        <f t="shared" si="6"/>
        <v>0.02</v>
      </c>
      <c r="O78" s="40">
        <f t="shared" si="7"/>
        <v>157672.03178574314</v>
      </c>
      <c r="P78" s="52">
        <f t="shared" si="9"/>
        <v>4060445.0957892984</v>
      </c>
      <c r="Q78" s="152"/>
    </row>
    <row r="79" spans="4:17" ht="15.75" thickBot="1" x14ac:dyDescent="0.3">
      <c r="L79" s="56">
        <v>18</v>
      </c>
      <c r="M79" s="58">
        <f t="shared" si="10"/>
        <v>3980828.5252836011</v>
      </c>
      <c r="N79" s="87">
        <f t="shared" si="6"/>
        <v>0.02</v>
      </c>
      <c r="O79" s="88">
        <f t="shared" si="7"/>
        <v>79616.570505672018</v>
      </c>
      <c r="P79" s="59">
        <f t="shared" si="9"/>
        <v>4060445.0957892984</v>
      </c>
      <c r="Q79" s="116">
        <f>M79+O79-P79</f>
        <v>-2.514570951461792E-8</v>
      </c>
    </row>
    <row r="80" spans="4:17" ht="15.75" thickBot="1" x14ac:dyDescent="0.3">
      <c r="L80" s="171"/>
      <c r="M80" s="172">
        <f>M62+O80</f>
        <v>73088011.724207371</v>
      </c>
      <c r="N80" s="173"/>
      <c r="O80" s="174">
        <v>12213691.952245731</v>
      </c>
      <c r="P80" s="175">
        <f>SUM(P62:P79)</f>
        <v>73088011.724207371</v>
      </c>
      <c r="Q80" s="162"/>
    </row>
  </sheetData>
  <mergeCells count="2">
    <mergeCell ref="B7:B8"/>
    <mergeCell ref="B10:B11"/>
  </mergeCells>
  <hyperlinks>
    <hyperlink ref="E6" r:id="rId1" xr:uid="{0E479998-8400-4348-8338-CDDDF615ACD5}"/>
    <hyperlink ref="E11" r:id="rId2" xr:uid="{550596F0-766F-4EB0-9C2A-F70432FFF784}"/>
    <hyperlink ref="E12" r:id="rId3" xr:uid="{ADF992E2-FB89-4558-B128-A68FDC8BFB1C}"/>
    <hyperlink ref="E7" r:id="rId4" xr:uid="{7AF5BDED-EE48-45F3-9AB9-6FBED6495F56}"/>
    <hyperlink ref="E15" r:id="rId5" xr:uid="{7F86703D-2104-44F0-9F5E-55E7EC2A290C}"/>
    <hyperlink ref="E16" r:id="rId6" xr:uid="{B17E7E13-6C11-4CDF-821C-3419CDD7FF9C}"/>
    <hyperlink ref="E19" r:id="rId7" xr:uid="{567DFB6B-0121-44FC-9FE3-94DAE9B530DF}"/>
    <hyperlink ref="E21" r:id="rId8" xr:uid="{3BBBA76C-F715-4FEA-903A-2599598F3FFB}"/>
    <hyperlink ref="E22" r:id="rId9" xr:uid="{5ECF8691-348C-45F7-9915-772623F1AF19}"/>
    <hyperlink ref="E23" r:id="rId10" xr:uid="{4CBC2862-5BD0-4607-AFA3-F5768F2FFFB6}"/>
    <hyperlink ref="E24" r:id="rId11" xr:uid="{8DD3C4D9-6B79-44B2-9D55-27915648B45C}"/>
    <hyperlink ref="E25" r:id="rId12" xr:uid="{410169B3-A6E1-4F1E-89E7-FAE18DD0D61C}"/>
    <hyperlink ref="E32" r:id="rId13" xr:uid="{1FA6E093-A75F-4B8A-AE16-CAF3A635188E}"/>
    <hyperlink ref="E34" r:id="rId14" xr:uid="{749D2E99-F2AB-45F8-B02B-0FBFBBEEF364}"/>
    <hyperlink ref="E20" r:id="rId15" xr:uid="{15BDE8ED-DDAA-42D7-80FA-3FD85F1CF9B1}"/>
    <hyperlink ref="I16" r:id="rId16" xr:uid="{EFEFAB90-F467-4FE9-830F-B2D9FE076FBC}"/>
  </hyperlinks>
  <pageMargins left="0.7" right="0.7" top="0.75" bottom="0.75" header="0.3" footer="0.3"/>
  <tableParts count="4">
    <tablePart r:id="rId17"/>
    <tablePart r:id="rId18"/>
    <tablePart r:id="rId19"/>
    <tablePart r:id="rId20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90157-11CF-4121-94AE-88C84CDD04F0}">
  <dimension ref="A2:AB87"/>
  <sheetViews>
    <sheetView topLeftCell="L1" zoomScale="85" zoomScaleNormal="85" workbookViewId="0">
      <selection activeCell="V11" sqref="V11"/>
    </sheetView>
  </sheetViews>
  <sheetFormatPr baseColWidth="10" defaultColWidth="9.140625" defaultRowHeight="15" x14ac:dyDescent="0.25"/>
  <cols>
    <col min="2" max="2" width="30.140625" customWidth="1"/>
    <col min="3" max="3" width="12" customWidth="1"/>
    <col min="4" max="4" width="20.5703125" customWidth="1"/>
    <col min="5" max="5" width="62.28515625" customWidth="1"/>
    <col min="6" max="6" width="12.42578125" customWidth="1"/>
    <col min="7" max="7" width="9.140625" customWidth="1"/>
    <col min="8" max="8" width="20.5703125" customWidth="1"/>
    <col min="9" max="9" width="12.42578125" customWidth="1"/>
    <col min="10" max="10" width="24.5703125" customWidth="1"/>
    <col min="11" max="11" width="12.42578125" customWidth="1"/>
    <col min="12" max="12" width="7.140625" customWidth="1"/>
    <col min="13" max="13" width="10.85546875" customWidth="1"/>
    <col min="15" max="15" width="18.5703125" customWidth="1"/>
    <col min="16" max="16" width="9.140625" customWidth="1"/>
    <col min="17" max="28" width="18.5703125" customWidth="1"/>
    <col min="29" max="29" width="7.5703125" customWidth="1"/>
  </cols>
  <sheetData>
    <row r="2" spans="1:13" x14ac:dyDescent="0.25">
      <c r="E2" s="17"/>
      <c r="F2" s="17" t="s">
        <v>45</v>
      </c>
    </row>
    <row r="3" spans="1:13" x14ac:dyDescent="0.25">
      <c r="D3" s="15"/>
      <c r="E3" s="17"/>
      <c r="F3" s="17" t="s">
        <v>45</v>
      </c>
    </row>
    <row r="4" spans="1:13" ht="15.75" thickBot="1" x14ac:dyDescent="0.3">
      <c r="A4" s="6" t="s">
        <v>28</v>
      </c>
      <c r="D4" s="12" t="s">
        <v>35</v>
      </c>
      <c r="E4" s="17"/>
      <c r="F4" s="17" t="s">
        <v>45</v>
      </c>
    </row>
    <row r="5" spans="1:13" x14ac:dyDescent="0.25">
      <c r="A5" s="6">
        <v>1</v>
      </c>
      <c r="B5" s="43" t="s">
        <v>46</v>
      </c>
      <c r="C5" s="47"/>
      <c r="D5" s="89" t="s">
        <v>126</v>
      </c>
      <c r="E5" s="179"/>
      <c r="F5" s="17" t="s">
        <v>45</v>
      </c>
    </row>
    <row r="6" spans="1:13" ht="30" hidden="1" x14ac:dyDescent="0.25">
      <c r="A6" s="6"/>
      <c r="B6" s="90" t="s">
        <v>47</v>
      </c>
      <c r="C6" s="37"/>
      <c r="D6" s="91" t="s">
        <v>61</v>
      </c>
      <c r="E6" s="180" t="s">
        <v>39</v>
      </c>
      <c r="F6" s="42" t="s">
        <v>60</v>
      </c>
      <c r="I6" s="81" t="s">
        <v>68</v>
      </c>
      <c r="J6" s="81" t="s">
        <v>71</v>
      </c>
      <c r="K6" s="82" t="s">
        <v>70</v>
      </c>
      <c r="L6" s="81" t="s">
        <v>20</v>
      </c>
      <c r="M6" s="81"/>
    </row>
    <row r="7" spans="1:13" x14ac:dyDescent="0.25">
      <c r="A7" s="6">
        <v>2</v>
      </c>
      <c r="B7" s="219" t="s">
        <v>5</v>
      </c>
      <c r="C7" s="37" t="s">
        <v>83</v>
      </c>
      <c r="D7" s="110">
        <v>198.77</v>
      </c>
      <c r="E7" s="180" t="s">
        <v>40</v>
      </c>
      <c r="F7" s="17" t="s">
        <v>45</v>
      </c>
      <c r="I7" s="78">
        <v>157</v>
      </c>
      <c r="J7" t="s">
        <v>69</v>
      </c>
      <c r="K7" s="3">
        <v>124.4</v>
      </c>
    </row>
    <row r="8" spans="1:13" x14ac:dyDescent="0.25">
      <c r="A8" s="6">
        <v>3</v>
      </c>
      <c r="B8" s="220"/>
      <c r="C8" s="37" t="s">
        <v>84</v>
      </c>
      <c r="D8" s="92">
        <f>1000*D7</f>
        <v>198770</v>
      </c>
      <c r="E8" s="179" t="s">
        <v>63</v>
      </c>
      <c r="F8" s="17" t="s">
        <v>45</v>
      </c>
      <c r="I8" s="78">
        <v>51</v>
      </c>
      <c r="J8" t="s">
        <v>72</v>
      </c>
      <c r="K8" s="3">
        <v>99</v>
      </c>
    </row>
    <row r="9" spans="1:13" x14ac:dyDescent="0.25">
      <c r="A9" s="9">
        <v>4</v>
      </c>
      <c r="B9" s="50" t="s">
        <v>9</v>
      </c>
      <c r="C9" s="37" t="s">
        <v>11</v>
      </c>
      <c r="D9" s="112">
        <v>5.2322220000000002</v>
      </c>
      <c r="E9" s="179" t="s">
        <v>63</v>
      </c>
      <c r="F9" s="17" t="s">
        <v>45</v>
      </c>
      <c r="G9">
        <v>4.96</v>
      </c>
      <c r="I9" s="78">
        <v>96</v>
      </c>
      <c r="J9" t="s">
        <v>73</v>
      </c>
      <c r="K9" s="3">
        <v>143</v>
      </c>
    </row>
    <row r="10" spans="1:13" x14ac:dyDescent="0.25">
      <c r="A10" s="9">
        <v>5</v>
      </c>
      <c r="B10" s="219" t="s">
        <v>8</v>
      </c>
      <c r="C10" s="37" t="s">
        <v>50</v>
      </c>
      <c r="D10" s="93">
        <f>D7*365*D9/1000</f>
        <v>379.60319993310003</v>
      </c>
      <c r="E10" s="179" t="s">
        <v>63</v>
      </c>
      <c r="F10" s="17" t="s">
        <v>45</v>
      </c>
      <c r="I10" s="78">
        <v>99</v>
      </c>
      <c r="J10" t="s">
        <v>74</v>
      </c>
      <c r="K10" s="3">
        <v>92.4</v>
      </c>
    </row>
    <row r="11" spans="1:13" x14ac:dyDescent="0.25">
      <c r="A11" s="9">
        <v>6</v>
      </c>
      <c r="B11" s="220" t="s">
        <v>8</v>
      </c>
      <c r="C11" s="37" t="s">
        <v>51</v>
      </c>
      <c r="D11" s="93">
        <f>1000*D10</f>
        <v>379603.19993310003</v>
      </c>
      <c r="E11" s="180" t="s">
        <v>39</v>
      </c>
      <c r="F11" s="17" t="s">
        <v>45</v>
      </c>
      <c r="I11" s="78">
        <v>217</v>
      </c>
      <c r="J11" t="s">
        <v>75</v>
      </c>
      <c r="K11" s="3">
        <v>168</v>
      </c>
    </row>
    <row r="12" spans="1:13" x14ac:dyDescent="0.25">
      <c r="A12" s="9">
        <v>7</v>
      </c>
      <c r="B12" s="94" t="s">
        <v>57</v>
      </c>
      <c r="C12" s="37" t="s">
        <v>62</v>
      </c>
      <c r="D12" s="95">
        <v>434486</v>
      </c>
      <c r="E12" s="180" t="s">
        <v>39</v>
      </c>
      <c r="F12" s="17" t="s">
        <v>45</v>
      </c>
      <c r="I12" s="78">
        <v>150</v>
      </c>
      <c r="J12" t="s">
        <v>76</v>
      </c>
      <c r="K12" s="3">
        <v>145</v>
      </c>
    </row>
    <row r="13" spans="1:13" hidden="1" x14ac:dyDescent="0.25">
      <c r="A13" s="6"/>
      <c r="B13" s="94" t="s">
        <v>18</v>
      </c>
      <c r="C13" s="37"/>
      <c r="D13" s="51"/>
      <c r="E13" s="179"/>
      <c r="F13" s="17" t="s">
        <v>45</v>
      </c>
      <c r="J13" t="s">
        <v>77</v>
      </c>
      <c r="K13" s="13">
        <f>SUM(K7:K12)</f>
        <v>771.8</v>
      </c>
    </row>
    <row r="14" spans="1:13" hidden="1" x14ac:dyDescent="0.25">
      <c r="A14" s="6"/>
      <c r="B14" s="94" t="s">
        <v>34</v>
      </c>
      <c r="C14" s="37" t="s">
        <v>19</v>
      </c>
      <c r="D14" s="51"/>
      <c r="E14" s="179"/>
      <c r="F14" s="17" t="s">
        <v>45</v>
      </c>
      <c r="J14" t="s">
        <v>43</v>
      </c>
      <c r="K14" s="13">
        <v>450</v>
      </c>
      <c r="L14" s="80">
        <f>K14/K13</f>
        <v>0.58305260430163253</v>
      </c>
      <c r="M14" s="80"/>
    </row>
    <row r="15" spans="1:13" x14ac:dyDescent="0.25">
      <c r="A15" s="9">
        <v>8</v>
      </c>
      <c r="B15" s="94" t="s">
        <v>36</v>
      </c>
      <c r="C15" s="37" t="s">
        <v>0</v>
      </c>
      <c r="D15" s="109">
        <v>500</v>
      </c>
      <c r="E15" s="180" t="s">
        <v>40</v>
      </c>
      <c r="F15" s="17" t="s">
        <v>45</v>
      </c>
      <c r="J15" t="s">
        <v>42</v>
      </c>
      <c r="K15" s="13">
        <f>K13-K14</f>
        <v>321.79999999999995</v>
      </c>
      <c r="L15" s="80">
        <f>K15/K13</f>
        <v>0.41694739569836742</v>
      </c>
      <c r="M15" s="80"/>
    </row>
    <row r="16" spans="1:13" x14ac:dyDescent="0.25">
      <c r="A16" s="9">
        <v>9</v>
      </c>
      <c r="B16" s="50" t="s">
        <v>2</v>
      </c>
      <c r="C16" s="37" t="s">
        <v>3</v>
      </c>
      <c r="D16" s="113">
        <v>146000000</v>
      </c>
      <c r="E16" s="180" t="s">
        <v>40</v>
      </c>
      <c r="F16" s="17" t="s">
        <v>45</v>
      </c>
      <c r="I16" t="s">
        <v>41</v>
      </c>
    </row>
    <row r="17" spans="1:24" hidden="1" x14ac:dyDescent="0.25">
      <c r="B17" s="219" t="s">
        <v>4</v>
      </c>
      <c r="C17" s="37" t="s">
        <v>1</v>
      </c>
      <c r="D17" s="113">
        <v>11.72</v>
      </c>
      <c r="E17" s="179" t="s">
        <v>64</v>
      </c>
      <c r="F17" s="17" t="s">
        <v>45</v>
      </c>
    </row>
    <row r="18" spans="1:24" hidden="1" x14ac:dyDescent="0.25">
      <c r="B18" s="220" t="s">
        <v>4</v>
      </c>
      <c r="C18" s="37" t="s">
        <v>10</v>
      </c>
      <c r="D18" s="96">
        <f>D17*D8</f>
        <v>2329584.4</v>
      </c>
      <c r="E18" s="179" t="s">
        <v>63</v>
      </c>
      <c r="F18" s="17" t="s">
        <v>45</v>
      </c>
      <c r="J18" t="s">
        <v>78</v>
      </c>
      <c r="K18">
        <v>18</v>
      </c>
      <c r="L18" t="s">
        <v>79</v>
      </c>
    </row>
    <row r="19" spans="1:24" x14ac:dyDescent="0.25">
      <c r="A19">
        <v>10</v>
      </c>
      <c r="B19" s="50" t="s">
        <v>86</v>
      </c>
      <c r="C19" s="37" t="s">
        <v>56</v>
      </c>
      <c r="D19" s="97">
        <v>15</v>
      </c>
      <c r="E19" s="180" t="s">
        <v>39</v>
      </c>
      <c r="F19" s="17" t="s">
        <v>45</v>
      </c>
    </row>
    <row r="20" spans="1:24" x14ac:dyDescent="0.25">
      <c r="A20">
        <v>11</v>
      </c>
      <c r="B20" s="50" t="s">
        <v>87</v>
      </c>
      <c r="C20" s="37" t="s">
        <v>56</v>
      </c>
      <c r="D20" s="97">
        <v>20</v>
      </c>
      <c r="E20" s="180" t="s">
        <v>39</v>
      </c>
      <c r="F20" s="17" t="s">
        <v>45</v>
      </c>
      <c r="L20" t="s">
        <v>129</v>
      </c>
      <c r="M20">
        <v>1.77</v>
      </c>
      <c r="X20" s="2">
        <f>1000*(0.0553+0.0054+0.0035)/$D$32</f>
        <v>2.9049773549586781</v>
      </c>
    </row>
    <row r="21" spans="1:24" hidden="1" x14ac:dyDescent="0.25">
      <c r="B21" s="50" t="s">
        <v>26</v>
      </c>
      <c r="C21" s="37" t="s">
        <v>56</v>
      </c>
      <c r="D21" s="110">
        <f>7/12</f>
        <v>0.58333333333333337</v>
      </c>
      <c r="E21" s="180" t="s">
        <v>39</v>
      </c>
      <c r="F21" s="17" t="s">
        <v>45</v>
      </c>
    </row>
    <row r="22" spans="1:24" x14ac:dyDescent="0.25">
      <c r="A22">
        <v>12</v>
      </c>
      <c r="B22" s="50" t="s">
        <v>30</v>
      </c>
      <c r="C22" s="37" t="s">
        <v>85</v>
      </c>
      <c r="D22" s="114">
        <v>43483</v>
      </c>
      <c r="E22" s="180" t="s">
        <v>39</v>
      </c>
      <c r="F22" s="17" t="s">
        <v>45</v>
      </c>
    </row>
    <row r="23" spans="1:24" hidden="1" x14ac:dyDescent="0.25">
      <c r="B23" s="50" t="s">
        <v>14</v>
      </c>
      <c r="C23" s="37" t="s">
        <v>3</v>
      </c>
      <c r="D23" s="113">
        <f>L14*D16</f>
        <v>85125680.228038356</v>
      </c>
      <c r="E23" s="180" t="s">
        <v>39</v>
      </c>
      <c r="F23" s="17" t="s">
        <v>45</v>
      </c>
    </row>
    <row r="24" spans="1:24" hidden="1" x14ac:dyDescent="0.25">
      <c r="B24" s="50" t="s">
        <v>15</v>
      </c>
      <c r="C24" s="37" t="s">
        <v>56</v>
      </c>
      <c r="D24" s="109">
        <v>18</v>
      </c>
      <c r="E24" s="180" t="s">
        <v>39</v>
      </c>
      <c r="F24" s="17" t="s">
        <v>45</v>
      </c>
    </row>
    <row r="25" spans="1:24" hidden="1" x14ac:dyDescent="0.25">
      <c r="B25" s="50" t="s">
        <v>16</v>
      </c>
      <c r="C25" s="37" t="s">
        <v>20</v>
      </c>
      <c r="D25" s="115">
        <v>0.02</v>
      </c>
      <c r="E25" s="180" t="s">
        <v>39</v>
      </c>
      <c r="F25" s="17" t="s">
        <v>45</v>
      </c>
      <c r="J25" s="4"/>
    </row>
    <row r="26" spans="1:24" hidden="1" x14ac:dyDescent="0.25">
      <c r="B26" s="50" t="s">
        <v>58</v>
      </c>
      <c r="C26" s="37" t="s">
        <v>3</v>
      </c>
      <c r="D26" s="98">
        <f>D16-D23</f>
        <v>60874319.771961644</v>
      </c>
      <c r="E26" s="179" t="s">
        <v>63</v>
      </c>
      <c r="F26" s="17" t="s">
        <v>45</v>
      </c>
      <c r="J26" s="4"/>
    </row>
    <row r="27" spans="1:24" hidden="1" x14ac:dyDescent="0.25">
      <c r="B27" s="50" t="s">
        <v>55</v>
      </c>
      <c r="C27" s="37" t="s">
        <v>3</v>
      </c>
      <c r="D27" s="98">
        <f>Q66</f>
        <v>12213691.952245709</v>
      </c>
      <c r="E27" s="179" t="s">
        <v>63</v>
      </c>
      <c r="F27" s="17" t="s">
        <v>45</v>
      </c>
      <c r="J27" s="4"/>
    </row>
    <row r="28" spans="1:24" hidden="1" x14ac:dyDescent="0.25">
      <c r="B28" s="50" t="s">
        <v>52</v>
      </c>
      <c r="C28" s="37" t="s">
        <v>3</v>
      </c>
      <c r="D28" s="98">
        <f>Q37</f>
        <v>17079432.500032701</v>
      </c>
      <c r="E28" s="179" t="s">
        <v>63</v>
      </c>
      <c r="F28" s="17" t="s">
        <v>45</v>
      </c>
      <c r="J28" s="4"/>
    </row>
    <row r="29" spans="1:24" hidden="1" x14ac:dyDescent="0.25">
      <c r="B29" s="50" t="s">
        <v>53</v>
      </c>
      <c r="C29" s="37" t="s">
        <v>3</v>
      </c>
      <c r="D29" s="99">
        <f>D18*D20</f>
        <v>46591688</v>
      </c>
      <c r="E29" s="179" t="s">
        <v>63</v>
      </c>
      <c r="F29" s="17" t="s">
        <v>45</v>
      </c>
      <c r="J29" s="4"/>
    </row>
    <row r="30" spans="1:24" hidden="1" x14ac:dyDescent="0.25">
      <c r="B30" s="50" t="s">
        <v>54</v>
      </c>
      <c r="C30" s="37" t="s">
        <v>3</v>
      </c>
      <c r="D30" s="98">
        <f>D16+D27+D28+D29</f>
        <v>221884812.45227841</v>
      </c>
      <c r="E30" s="179" t="s">
        <v>63</v>
      </c>
      <c r="F30" s="17" t="s">
        <v>45</v>
      </c>
      <c r="J30" s="4"/>
    </row>
    <row r="31" spans="1:24" hidden="1" x14ac:dyDescent="0.25">
      <c r="B31" s="50" t="s">
        <v>17</v>
      </c>
      <c r="C31" s="37" t="s">
        <v>21</v>
      </c>
      <c r="D31" s="51"/>
      <c r="E31" s="179"/>
      <c r="F31" s="17" t="s">
        <v>45</v>
      </c>
      <c r="J31" s="4"/>
    </row>
    <row r="32" spans="1:24" x14ac:dyDescent="0.25">
      <c r="A32">
        <v>13</v>
      </c>
      <c r="B32" s="50" t="s">
        <v>27</v>
      </c>
      <c r="C32" s="37" t="s">
        <v>37</v>
      </c>
      <c r="D32" s="100">
        <f>2904000000/131402714</f>
        <v>22.100000156769973</v>
      </c>
      <c r="E32" s="180" t="s">
        <v>39</v>
      </c>
      <c r="F32" s="17" t="s">
        <v>45</v>
      </c>
      <c r="J32" s="4"/>
    </row>
    <row r="33" spans="1:28" hidden="1" x14ac:dyDescent="0.25">
      <c r="B33" s="50" t="s">
        <v>17</v>
      </c>
      <c r="C33" s="37" t="s">
        <v>49</v>
      </c>
      <c r="D33" s="51"/>
      <c r="E33" s="179"/>
      <c r="F33" s="17" t="s">
        <v>45</v>
      </c>
      <c r="J33" s="4"/>
    </row>
    <row r="34" spans="1:28" x14ac:dyDescent="0.25">
      <c r="A34">
        <v>14</v>
      </c>
      <c r="B34" s="50" t="s">
        <v>22</v>
      </c>
      <c r="C34" s="37" t="s">
        <v>10</v>
      </c>
      <c r="D34" s="105">
        <f>157996597/D32</f>
        <v>7149167.2343540834</v>
      </c>
      <c r="E34" s="180" t="s">
        <v>66</v>
      </c>
      <c r="F34" s="17" t="s">
        <v>45</v>
      </c>
      <c r="G34">
        <f>D34/(D11+D12)</f>
        <v>8.7817984011353865</v>
      </c>
      <c r="J34" s="4"/>
      <c r="Y34">
        <f>Z44/Y44</f>
        <v>1.4102780974525853</v>
      </c>
    </row>
    <row r="35" spans="1:28" x14ac:dyDescent="0.25">
      <c r="A35">
        <v>15</v>
      </c>
      <c r="B35" s="50" t="s">
        <v>57</v>
      </c>
      <c r="C35" s="37" t="s">
        <v>10</v>
      </c>
      <c r="D35" s="108" t="s">
        <v>67</v>
      </c>
      <c r="E35" s="179" t="s">
        <v>67</v>
      </c>
      <c r="F35" s="17" t="s">
        <v>45</v>
      </c>
      <c r="J35" s="4"/>
    </row>
    <row r="36" spans="1:28" x14ac:dyDescent="0.25">
      <c r="A36">
        <v>16</v>
      </c>
      <c r="B36" s="50" t="s">
        <v>24</v>
      </c>
      <c r="C36" s="37" t="s">
        <v>25</v>
      </c>
      <c r="D36" s="106">
        <f>D16/(D7*1000000)</f>
        <v>0.73451728127987126</v>
      </c>
      <c r="E36" s="179" t="s">
        <v>63</v>
      </c>
      <c r="F36" s="17" t="s">
        <v>45</v>
      </c>
      <c r="J36" s="4"/>
      <c r="K36" s="16"/>
      <c r="L36" s="16"/>
      <c r="M36" s="16"/>
    </row>
    <row r="37" spans="1:28" ht="15.75" thickBot="1" x14ac:dyDescent="0.3">
      <c r="B37" s="56" t="s">
        <v>23</v>
      </c>
      <c r="C37" s="57" t="s">
        <v>56</v>
      </c>
      <c r="D37" s="107">
        <f>D30/(D34)</f>
        <v>31.03645574075389</v>
      </c>
      <c r="E37" s="179" t="s">
        <v>63</v>
      </c>
      <c r="F37" s="17" t="s">
        <v>45</v>
      </c>
      <c r="J37" s="4"/>
      <c r="K37" s="186"/>
      <c r="L37" s="189" t="s">
        <v>113</v>
      </c>
      <c r="M37" s="186">
        <v>1</v>
      </c>
      <c r="N37" s="186"/>
      <c r="O37" s="187">
        <f>O41+Q37</f>
        <v>102205112.72807106</v>
      </c>
      <c r="P37" s="186"/>
      <c r="Q37" s="188">
        <v>17079432.500032701</v>
      </c>
      <c r="R37" s="190">
        <f>SUM($Q$41:$Q$58)</f>
        <v>17079432.500032868</v>
      </c>
      <c r="S37" s="197"/>
      <c r="T37" s="197"/>
      <c r="U37" s="197"/>
      <c r="V37" s="197">
        <v>0.17</v>
      </c>
      <c r="W37" s="197"/>
      <c r="X37" s="198"/>
      <c r="Y37" s="198"/>
      <c r="Z37" s="197"/>
      <c r="AA37" s="197"/>
      <c r="AB37" s="197"/>
    </row>
    <row r="38" spans="1:28" x14ac:dyDescent="0.25">
      <c r="E38" s="17"/>
      <c r="F38" s="17" t="s">
        <v>45</v>
      </c>
    </row>
    <row r="39" spans="1:28" x14ac:dyDescent="0.25">
      <c r="B39" t="s">
        <v>88</v>
      </c>
      <c r="C39" t="s">
        <v>51</v>
      </c>
      <c r="D39" s="2">
        <f>D12-D11</f>
        <v>54882.800066899974</v>
      </c>
      <c r="E39" s="17"/>
      <c r="F39" s="17" t="s">
        <v>45</v>
      </c>
      <c r="M39" s="218" t="s">
        <v>21</v>
      </c>
      <c r="N39" s="218" t="s">
        <v>96</v>
      </c>
      <c r="O39" s="221" t="s">
        <v>115</v>
      </c>
      <c r="P39" s="221"/>
      <c r="Q39" s="221"/>
      <c r="R39" s="221"/>
      <c r="S39" s="221" t="s">
        <v>116</v>
      </c>
      <c r="T39" s="221"/>
      <c r="U39" s="221"/>
      <c r="V39" s="218" t="s">
        <v>119</v>
      </c>
      <c r="W39" s="218"/>
      <c r="X39" s="218"/>
      <c r="Y39" s="218"/>
      <c r="Z39" s="218"/>
      <c r="AA39" s="218" t="s">
        <v>124</v>
      </c>
      <c r="AB39" s="218" t="s">
        <v>125</v>
      </c>
    </row>
    <row r="40" spans="1:28" x14ac:dyDescent="0.25">
      <c r="B40" t="s">
        <v>89</v>
      </c>
      <c r="C40" t="s">
        <v>51</v>
      </c>
      <c r="D40" s="2">
        <f>D12</f>
        <v>434486</v>
      </c>
      <c r="M40" s="218"/>
      <c r="N40" s="218"/>
      <c r="O40" s="195" t="s">
        <v>97</v>
      </c>
      <c r="P40" s="195" t="s">
        <v>98</v>
      </c>
      <c r="Q40" s="195" t="s">
        <v>99</v>
      </c>
      <c r="R40" s="195" t="s">
        <v>112</v>
      </c>
      <c r="S40" s="195" t="s">
        <v>117</v>
      </c>
      <c r="T40" s="195" t="s">
        <v>118</v>
      </c>
      <c r="U40" s="195" t="s">
        <v>122</v>
      </c>
      <c r="V40" s="195" t="s">
        <v>120</v>
      </c>
      <c r="W40" s="195" t="s">
        <v>121</v>
      </c>
      <c r="X40" s="195" t="s">
        <v>123</v>
      </c>
      <c r="Y40" s="195" t="s">
        <v>115</v>
      </c>
      <c r="Z40" s="195" t="s">
        <v>122</v>
      </c>
      <c r="AA40" s="218"/>
      <c r="AB40" s="218"/>
    </row>
    <row r="41" spans="1:28" x14ac:dyDescent="0.25">
      <c r="B41" t="s">
        <v>90</v>
      </c>
      <c r="C41" t="s">
        <v>21</v>
      </c>
      <c r="D41" s="3">
        <v>80</v>
      </c>
      <c r="M41" s="3">
        <f>$M$37*$M$20*1000/$D$32</f>
        <v>80.090497169421496</v>
      </c>
      <c r="N41" s="6">
        <v>1</v>
      </c>
      <c r="O41" s="181">
        <v>85125680.228038356</v>
      </c>
      <c r="P41" s="182">
        <f>$D$25</f>
        <v>0.02</v>
      </c>
      <c r="Q41" s="183">
        <f>O41*P41</f>
        <v>1702513.6045607671</v>
      </c>
      <c r="R41" s="184">
        <f t="shared" ref="R41:R58" si="0">($O$41+$Q$37)/$N$58</f>
        <v>5678061.8182261698</v>
      </c>
      <c r="S41" s="181">
        <f>157996597/22.1</f>
        <v>7149167.2850678731</v>
      </c>
      <c r="T41" s="13">
        <f t="shared" ref="T41:T55" si="1">$D$39*M41</f>
        <v>4395590.7434079787</v>
      </c>
      <c r="U41" s="13">
        <f>S41+T41</f>
        <v>11544758.028475851</v>
      </c>
      <c r="V41" s="13">
        <f>$D$16/(1+V37)</f>
        <v>124786324.7863248</v>
      </c>
      <c r="X41" s="3">
        <f>$X$37*$D$39</f>
        <v>0</v>
      </c>
      <c r="Y41" s="3">
        <f>R41</f>
        <v>5678061.8182261698</v>
      </c>
      <c r="Z41" s="13">
        <f>V41+W41+X41+Y41</f>
        <v>130464386.60455097</v>
      </c>
      <c r="AA41" s="3">
        <f>U41-Z41</f>
        <v>-118919628.57607512</v>
      </c>
      <c r="AB41" s="13">
        <f>AA41</f>
        <v>-118919628.57607512</v>
      </c>
    </row>
    <row r="42" spans="1:28" x14ac:dyDescent="0.25">
      <c r="B42" t="s">
        <v>91</v>
      </c>
      <c r="C42" t="s">
        <v>10</v>
      </c>
      <c r="D42" s="3">
        <f>D39*D41</f>
        <v>4390624.0053519979</v>
      </c>
      <c r="M42" s="3">
        <f t="shared" ref="M42:M60" si="2">$M$37*$M$20*1000/$D$32</f>
        <v>80.090497169421496</v>
      </c>
      <c r="N42" s="6">
        <v>2</v>
      </c>
      <c r="O42" s="184">
        <f t="shared" ref="O42:O49" si="3">O41+Q41-R41</f>
        <v>81150132.014372945</v>
      </c>
      <c r="P42" s="182">
        <f t="shared" ref="P42:P58" si="4">$D$25</f>
        <v>0.02</v>
      </c>
      <c r="Q42" s="183">
        <f t="shared" ref="Q42:Q58" si="5">O42*P42</f>
        <v>1623002.6402874589</v>
      </c>
      <c r="R42" s="184">
        <f t="shared" si="0"/>
        <v>5678061.8182261698</v>
      </c>
      <c r="S42" s="181">
        <f t="shared" ref="S42:S60" si="6">157996597/22.1</f>
        <v>7149167.2850678731</v>
      </c>
      <c r="T42" s="13">
        <f t="shared" si="1"/>
        <v>4395590.7434079787</v>
      </c>
      <c r="U42" s="13">
        <f t="shared" ref="U42:U60" si="7">S42+T42</f>
        <v>11544758.028475851</v>
      </c>
      <c r="W42" s="13">
        <f>$D$18</f>
        <v>2329584.4</v>
      </c>
      <c r="X42" s="3">
        <f t="shared" ref="X42:X55" si="8">$X$37*$D$39</f>
        <v>0</v>
      </c>
      <c r="Y42" s="3">
        <f t="shared" ref="Y42:Y60" si="9">R42</f>
        <v>5678061.8182261698</v>
      </c>
      <c r="Z42" s="13">
        <f t="shared" ref="Z42:Z60" si="10">V42+W42+X42+Y42</f>
        <v>8007646.2182261702</v>
      </c>
      <c r="AA42" s="3">
        <f t="shared" ref="AA42:AA61" si="11">U42-Z42</f>
        <v>3537111.8102496807</v>
      </c>
      <c r="AB42" s="13">
        <f>AB41+U42-Z42</f>
        <v>-115382516.76582544</v>
      </c>
    </row>
    <row r="43" spans="1:28" x14ac:dyDescent="0.25">
      <c r="B43" t="s">
        <v>92</v>
      </c>
      <c r="C43" t="s">
        <v>10</v>
      </c>
      <c r="D43" s="3">
        <f>D40*D41*5/20</f>
        <v>8689720</v>
      </c>
      <c r="F43" s="11"/>
      <c r="M43" s="3">
        <f t="shared" si="2"/>
        <v>80.090497169421496</v>
      </c>
      <c r="N43" s="6">
        <v>3</v>
      </c>
      <c r="O43" s="184">
        <f t="shared" si="3"/>
        <v>77095072.83643423</v>
      </c>
      <c r="P43" s="182">
        <f t="shared" si="4"/>
        <v>0.02</v>
      </c>
      <c r="Q43" s="183">
        <f t="shared" si="5"/>
        <v>1541901.4567286847</v>
      </c>
      <c r="R43" s="184">
        <f t="shared" si="0"/>
        <v>5678061.8182261698</v>
      </c>
      <c r="S43" s="181">
        <f t="shared" si="6"/>
        <v>7149167.2850678731</v>
      </c>
      <c r="T43" s="13">
        <f t="shared" si="1"/>
        <v>4395590.7434079787</v>
      </c>
      <c r="U43" s="13">
        <f t="shared" si="7"/>
        <v>11544758.028475851</v>
      </c>
      <c r="W43" s="13">
        <f t="shared" ref="W43:W60" si="12">$D$18</f>
        <v>2329584.4</v>
      </c>
      <c r="X43" s="3">
        <f t="shared" si="8"/>
        <v>0</v>
      </c>
      <c r="Y43" s="3">
        <f t="shared" si="9"/>
        <v>5678061.8182261698</v>
      </c>
      <c r="Z43" s="13">
        <f t="shared" si="10"/>
        <v>8007646.2182261702</v>
      </c>
      <c r="AA43" s="3">
        <f t="shared" si="11"/>
        <v>3537111.8102496807</v>
      </c>
      <c r="AB43" s="13">
        <f t="shared" ref="AB43:AB60" si="13">AB42+U43-Z43</f>
        <v>-111845404.95557575</v>
      </c>
    </row>
    <row r="44" spans="1:28" x14ac:dyDescent="0.25">
      <c r="F44" s="78"/>
      <c r="M44" s="3">
        <f t="shared" si="2"/>
        <v>80.090497169421496</v>
      </c>
      <c r="N44" s="6">
        <v>4</v>
      </c>
      <c r="O44" s="184">
        <f t="shared" si="3"/>
        <v>72958912.474936739</v>
      </c>
      <c r="P44" s="182">
        <f t="shared" si="4"/>
        <v>0.02</v>
      </c>
      <c r="Q44" s="183">
        <f>O44*P44</f>
        <v>1459178.2494987347</v>
      </c>
      <c r="R44" s="184">
        <f t="shared" si="0"/>
        <v>5678061.8182261698</v>
      </c>
      <c r="S44" s="181">
        <f t="shared" si="6"/>
        <v>7149167.2850678731</v>
      </c>
      <c r="T44" s="13">
        <f t="shared" si="1"/>
        <v>4395590.7434079787</v>
      </c>
      <c r="U44" s="13">
        <f t="shared" si="7"/>
        <v>11544758.028475851</v>
      </c>
      <c r="W44" s="13">
        <f t="shared" si="12"/>
        <v>2329584.4</v>
      </c>
      <c r="X44" s="3">
        <f t="shared" si="8"/>
        <v>0</v>
      </c>
      <c r="Y44" s="3">
        <f t="shared" si="9"/>
        <v>5678061.8182261698</v>
      </c>
      <c r="Z44" s="13">
        <f t="shared" si="10"/>
        <v>8007646.2182261702</v>
      </c>
      <c r="AA44" s="3">
        <f t="shared" si="11"/>
        <v>3537111.8102496807</v>
      </c>
      <c r="AB44" s="13">
        <f t="shared" si="13"/>
        <v>-108308293.14532606</v>
      </c>
    </row>
    <row r="45" spans="1:28" x14ac:dyDescent="0.25">
      <c r="C45" t="s">
        <v>102</v>
      </c>
      <c r="D45" s="13">
        <f>D41/1000</f>
        <v>0.08</v>
      </c>
      <c r="F45" s="78"/>
      <c r="M45" s="3">
        <f t="shared" si="2"/>
        <v>80.090497169421496</v>
      </c>
      <c r="N45" s="6">
        <v>5</v>
      </c>
      <c r="O45" s="184">
        <f t="shared" si="3"/>
        <v>68740028.906209305</v>
      </c>
      <c r="P45" s="182">
        <f t="shared" si="4"/>
        <v>0.02</v>
      </c>
      <c r="Q45" s="183">
        <f t="shared" si="5"/>
        <v>1374800.578124186</v>
      </c>
      <c r="R45" s="184">
        <f t="shared" si="0"/>
        <v>5678061.8182261698</v>
      </c>
      <c r="S45" s="181">
        <f t="shared" si="6"/>
        <v>7149167.2850678731</v>
      </c>
      <c r="T45" s="13">
        <f t="shared" si="1"/>
        <v>4395590.7434079787</v>
      </c>
      <c r="U45" s="13">
        <f>S45+T45</f>
        <v>11544758.028475851</v>
      </c>
      <c r="W45" s="13">
        <f t="shared" si="12"/>
        <v>2329584.4</v>
      </c>
      <c r="X45" s="3">
        <f t="shared" si="8"/>
        <v>0</v>
      </c>
      <c r="Y45" s="3">
        <f t="shared" si="9"/>
        <v>5678061.8182261698</v>
      </c>
      <c r="Z45" s="13">
        <f t="shared" si="10"/>
        <v>8007646.2182261702</v>
      </c>
      <c r="AA45" s="3">
        <f t="shared" si="11"/>
        <v>3537111.8102496807</v>
      </c>
      <c r="AB45" s="13">
        <f t="shared" si="13"/>
        <v>-104771181.33507638</v>
      </c>
    </row>
    <row r="46" spans="1:28" x14ac:dyDescent="0.25">
      <c r="C46" t="s">
        <v>103</v>
      </c>
      <c r="D46" s="3">
        <f>D32*D45</f>
        <v>1.7680000125415978</v>
      </c>
      <c r="F46" s="78"/>
      <c r="M46" s="3">
        <f t="shared" si="2"/>
        <v>80.090497169421496</v>
      </c>
      <c r="N46" s="6">
        <v>6</v>
      </c>
      <c r="O46" s="184">
        <f t="shared" si="3"/>
        <v>64436767.666107312</v>
      </c>
      <c r="P46" s="182">
        <f t="shared" si="4"/>
        <v>0.02</v>
      </c>
      <c r="Q46" s="183">
        <f t="shared" si="5"/>
        <v>1288735.3533221462</v>
      </c>
      <c r="R46" s="184">
        <f t="shared" si="0"/>
        <v>5678061.8182261698</v>
      </c>
      <c r="S46" s="181">
        <f t="shared" si="6"/>
        <v>7149167.2850678731</v>
      </c>
      <c r="T46" s="13">
        <f t="shared" si="1"/>
        <v>4395590.7434079787</v>
      </c>
      <c r="U46" s="13">
        <f t="shared" si="7"/>
        <v>11544758.028475851</v>
      </c>
      <c r="W46" s="13">
        <f t="shared" si="12"/>
        <v>2329584.4</v>
      </c>
      <c r="X46" s="3">
        <f t="shared" si="8"/>
        <v>0</v>
      </c>
      <c r="Y46" s="3">
        <f t="shared" si="9"/>
        <v>5678061.8182261698</v>
      </c>
      <c r="Z46" s="13">
        <f t="shared" si="10"/>
        <v>8007646.2182261702</v>
      </c>
      <c r="AA46" s="3">
        <f t="shared" si="11"/>
        <v>3537111.8102496807</v>
      </c>
      <c r="AB46" s="13">
        <f t="shared" si="13"/>
        <v>-101234069.52482669</v>
      </c>
    </row>
    <row r="47" spans="1:28" x14ac:dyDescent="0.25">
      <c r="F47" s="78"/>
      <c r="M47" s="3">
        <f t="shared" si="2"/>
        <v>80.090497169421496</v>
      </c>
      <c r="N47" s="6">
        <v>7</v>
      </c>
      <c r="O47" s="184">
        <f t="shared" si="3"/>
        <v>60047441.201203287</v>
      </c>
      <c r="P47" s="182">
        <f t="shared" si="4"/>
        <v>0.02</v>
      </c>
      <c r="Q47" s="183">
        <f t="shared" si="5"/>
        <v>1200948.8240240659</v>
      </c>
      <c r="R47" s="184">
        <f t="shared" si="0"/>
        <v>5678061.8182261698</v>
      </c>
      <c r="S47" s="181">
        <f t="shared" si="6"/>
        <v>7149167.2850678731</v>
      </c>
      <c r="T47" s="13">
        <f t="shared" si="1"/>
        <v>4395590.7434079787</v>
      </c>
      <c r="U47" s="13">
        <f t="shared" si="7"/>
        <v>11544758.028475851</v>
      </c>
      <c r="W47" s="13">
        <f t="shared" si="12"/>
        <v>2329584.4</v>
      </c>
      <c r="X47" s="3">
        <f t="shared" si="8"/>
        <v>0</v>
      </c>
      <c r="Y47" s="3">
        <f t="shared" si="9"/>
        <v>5678061.8182261698</v>
      </c>
      <c r="Z47" s="13">
        <f>V47+W47+X47+Y47</f>
        <v>8007646.2182261702</v>
      </c>
      <c r="AA47" s="3">
        <f t="shared" si="11"/>
        <v>3537111.8102496807</v>
      </c>
      <c r="AB47" s="13">
        <f t="shared" si="13"/>
        <v>-97696957.714577004</v>
      </c>
    </row>
    <row r="48" spans="1:28" x14ac:dyDescent="0.25">
      <c r="D48">
        <v>2.8</v>
      </c>
      <c r="F48" s="78"/>
      <c r="M48" s="3">
        <f t="shared" si="2"/>
        <v>80.090497169421496</v>
      </c>
      <c r="N48" s="6">
        <v>8</v>
      </c>
      <c r="O48" s="184">
        <f t="shared" si="3"/>
        <v>55570328.207001179</v>
      </c>
      <c r="P48" s="182">
        <f t="shared" si="4"/>
        <v>0.02</v>
      </c>
      <c r="Q48" s="183">
        <f t="shared" si="5"/>
        <v>1111406.5641400237</v>
      </c>
      <c r="R48" s="184">
        <f t="shared" si="0"/>
        <v>5678061.8182261698</v>
      </c>
      <c r="S48" s="181">
        <f t="shared" si="6"/>
        <v>7149167.2850678731</v>
      </c>
      <c r="T48" s="13">
        <f t="shared" si="1"/>
        <v>4395590.7434079787</v>
      </c>
      <c r="U48" s="13">
        <f t="shared" si="7"/>
        <v>11544758.028475851</v>
      </c>
      <c r="W48" s="13">
        <f t="shared" si="12"/>
        <v>2329584.4</v>
      </c>
      <c r="X48" s="3">
        <f t="shared" si="8"/>
        <v>0</v>
      </c>
      <c r="Y48" s="3">
        <f t="shared" si="9"/>
        <v>5678061.8182261698</v>
      </c>
      <c r="Z48" s="13">
        <f t="shared" si="10"/>
        <v>8007646.2182261702</v>
      </c>
      <c r="AA48" s="3">
        <f t="shared" si="11"/>
        <v>3537111.8102496807</v>
      </c>
      <c r="AB48" s="13">
        <f t="shared" si="13"/>
        <v>-94159845.904327318</v>
      </c>
    </row>
    <row r="49" spans="6:28" x14ac:dyDescent="0.25">
      <c r="F49" s="78"/>
      <c r="M49" s="3">
        <f t="shared" si="2"/>
        <v>80.090497169421496</v>
      </c>
      <c r="N49" s="6">
        <v>9</v>
      </c>
      <c r="O49" s="184">
        <f t="shared" si="3"/>
        <v>51003672.952915028</v>
      </c>
      <c r="P49" s="182">
        <f t="shared" si="4"/>
        <v>0.02</v>
      </c>
      <c r="Q49" s="183">
        <f t="shared" si="5"/>
        <v>1020073.4590583006</v>
      </c>
      <c r="R49" s="184">
        <f t="shared" si="0"/>
        <v>5678061.8182261698</v>
      </c>
      <c r="S49" s="181">
        <f t="shared" si="6"/>
        <v>7149167.2850678731</v>
      </c>
      <c r="T49" s="13">
        <f t="shared" si="1"/>
        <v>4395590.7434079787</v>
      </c>
      <c r="U49" s="13">
        <f t="shared" si="7"/>
        <v>11544758.028475851</v>
      </c>
      <c r="W49" s="13">
        <f t="shared" si="12"/>
        <v>2329584.4</v>
      </c>
      <c r="X49" s="3">
        <f t="shared" si="8"/>
        <v>0</v>
      </c>
      <c r="Y49" s="3">
        <f t="shared" si="9"/>
        <v>5678061.8182261698</v>
      </c>
      <c r="Z49" s="13">
        <f t="shared" si="10"/>
        <v>8007646.2182261702</v>
      </c>
      <c r="AA49" s="3">
        <f t="shared" si="11"/>
        <v>3537111.8102496807</v>
      </c>
      <c r="AB49" s="13">
        <f t="shared" si="13"/>
        <v>-90622734.094077632</v>
      </c>
    </row>
    <row r="50" spans="6:28" x14ac:dyDescent="0.25">
      <c r="M50" s="3">
        <f t="shared" si="2"/>
        <v>80.090497169421496</v>
      </c>
      <c r="N50" s="6">
        <v>10</v>
      </c>
      <c r="O50" s="184">
        <f t="shared" ref="O50:O57" si="14">O49+Q49-R49</f>
        <v>46345684.593747154</v>
      </c>
      <c r="P50" s="182">
        <f t="shared" si="4"/>
        <v>0.02</v>
      </c>
      <c r="Q50" s="183">
        <f t="shared" si="5"/>
        <v>926913.69187494309</v>
      </c>
      <c r="R50" s="184">
        <f t="shared" si="0"/>
        <v>5678061.8182261698</v>
      </c>
      <c r="S50" s="181">
        <f t="shared" si="6"/>
        <v>7149167.2850678731</v>
      </c>
      <c r="T50" s="13">
        <f t="shared" si="1"/>
        <v>4395590.7434079787</v>
      </c>
      <c r="U50" s="13">
        <f t="shared" si="7"/>
        <v>11544758.028475851</v>
      </c>
      <c r="W50" s="13">
        <f t="shared" si="12"/>
        <v>2329584.4</v>
      </c>
      <c r="X50" s="3">
        <f t="shared" si="8"/>
        <v>0</v>
      </c>
      <c r="Y50" s="3">
        <f t="shared" si="9"/>
        <v>5678061.8182261698</v>
      </c>
      <c r="Z50" s="13">
        <f t="shared" si="10"/>
        <v>8007646.2182261702</v>
      </c>
      <c r="AA50" s="3">
        <f t="shared" si="11"/>
        <v>3537111.8102496807</v>
      </c>
      <c r="AB50" s="13">
        <f t="shared" si="13"/>
        <v>-87085622.283827946</v>
      </c>
    </row>
    <row r="51" spans="6:28" x14ac:dyDescent="0.25">
      <c r="G51" s="80"/>
      <c r="M51" s="3">
        <f t="shared" si="2"/>
        <v>80.090497169421496</v>
      </c>
      <c r="N51" s="6">
        <v>11</v>
      </c>
      <c r="O51" s="184">
        <f t="shared" si="14"/>
        <v>41594536.467395931</v>
      </c>
      <c r="P51" s="182">
        <f t="shared" si="4"/>
        <v>0.02</v>
      </c>
      <c r="Q51" s="183">
        <f t="shared" si="5"/>
        <v>831890.72934791865</v>
      </c>
      <c r="R51" s="184">
        <f t="shared" si="0"/>
        <v>5678061.8182261698</v>
      </c>
      <c r="S51" s="181">
        <f t="shared" si="6"/>
        <v>7149167.2850678731</v>
      </c>
      <c r="T51" s="13">
        <f t="shared" si="1"/>
        <v>4395590.7434079787</v>
      </c>
      <c r="U51" s="13">
        <f t="shared" si="7"/>
        <v>11544758.028475851</v>
      </c>
      <c r="V51" s="13">
        <f>V41*V37</f>
        <v>21213675.213675216</v>
      </c>
      <c r="W51" s="13">
        <f t="shared" si="12"/>
        <v>2329584.4</v>
      </c>
      <c r="X51" s="3">
        <f t="shared" si="8"/>
        <v>0</v>
      </c>
      <c r="Y51" s="3">
        <f t="shared" si="9"/>
        <v>5678061.8182261698</v>
      </c>
      <c r="Z51" s="13">
        <f t="shared" si="10"/>
        <v>29221321.431901384</v>
      </c>
      <c r="AA51" s="3">
        <f t="shared" si="11"/>
        <v>-17676563.403425533</v>
      </c>
      <c r="AB51" s="13">
        <f t="shared" si="13"/>
        <v>-104762185.68725348</v>
      </c>
    </row>
    <row r="52" spans="6:28" x14ac:dyDescent="0.25">
      <c r="G52" s="80"/>
      <c r="M52" s="3">
        <f t="shared" si="2"/>
        <v>80.090497169421496</v>
      </c>
      <c r="N52" s="6">
        <v>12</v>
      </c>
      <c r="O52" s="184">
        <f t="shared" si="14"/>
        <v>36748365.378517687</v>
      </c>
      <c r="P52" s="182">
        <f t="shared" si="4"/>
        <v>0.02</v>
      </c>
      <c r="Q52" s="183">
        <f t="shared" si="5"/>
        <v>734967.30757035373</v>
      </c>
      <c r="R52" s="184">
        <f t="shared" si="0"/>
        <v>5678061.8182261698</v>
      </c>
      <c r="S52" s="181">
        <f t="shared" si="6"/>
        <v>7149167.2850678731</v>
      </c>
      <c r="T52" s="13">
        <f t="shared" si="1"/>
        <v>4395590.7434079787</v>
      </c>
      <c r="U52" s="13">
        <f t="shared" si="7"/>
        <v>11544758.028475851</v>
      </c>
      <c r="W52" s="13">
        <f t="shared" si="12"/>
        <v>2329584.4</v>
      </c>
      <c r="X52" s="3">
        <f t="shared" si="8"/>
        <v>0</v>
      </c>
      <c r="Y52" s="3">
        <f t="shared" si="9"/>
        <v>5678061.8182261698</v>
      </c>
      <c r="Z52" s="13">
        <f t="shared" si="10"/>
        <v>8007646.2182261702</v>
      </c>
      <c r="AA52" s="3">
        <f t="shared" si="11"/>
        <v>3537111.8102496807</v>
      </c>
      <c r="AB52" s="13">
        <f t="shared" si="13"/>
        <v>-101225073.87700379</v>
      </c>
    </row>
    <row r="53" spans="6:28" x14ac:dyDescent="0.25">
      <c r="M53" s="3">
        <f t="shared" si="2"/>
        <v>80.090497169421496</v>
      </c>
      <c r="N53" s="6">
        <v>13</v>
      </c>
      <c r="O53" s="184">
        <f t="shared" si="14"/>
        <v>31805270.867861871</v>
      </c>
      <c r="P53" s="182">
        <f t="shared" si="4"/>
        <v>0.02</v>
      </c>
      <c r="Q53" s="183">
        <f t="shared" si="5"/>
        <v>636105.41735723743</v>
      </c>
      <c r="R53" s="184">
        <f t="shared" si="0"/>
        <v>5678061.8182261698</v>
      </c>
      <c r="S53" s="181">
        <f t="shared" si="6"/>
        <v>7149167.2850678731</v>
      </c>
      <c r="T53" s="13">
        <f t="shared" si="1"/>
        <v>4395590.7434079787</v>
      </c>
      <c r="U53" s="13">
        <f t="shared" si="7"/>
        <v>11544758.028475851</v>
      </c>
      <c r="W53" s="13">
        <f t="shared" si="12"/>
        <v>2329584.4</v>
      </c>
      <c r="X53" s="3">
        <f t="shared" si="8"/>
        <v>0</v>
      </c>
      <c r="Y53" s="3">
        <f t="shared" si="9"/>
        <v>5678061.8182261698</v>
      </c>
      <c r="Z53" s="13">
        <f t="shared" si="10"/>
        <v>8007646.2182261702</v>
      </c>
      <c r="AA53" s="3">
        <f t="shared" si="11"/>
        <v>3537111.8102496807</v>
      </c>
      <c r="AB53" s="13">
        <f t="shared" si="13"/>
        <v>-97687962.066754103</v>
      </c>
    </row>
    <row r="54" spans="6:28" x14ac:dyDescent="0.25">
      <c r="M54" s="3">
        <f t="shared" si="2"/>
        <v>80.090497169421496</v>
      </c>
      <c r="N54" s="6">
        <v>14</v>
      </c>
      <c r="O54" s="184">
        <f t="shared" si="14"/>
        <v>26763314.466992937</v>
      </c>
      <c r="P54" s="182">
        <f t="shared" si="4"/>
        <v>0.02</v>
      </c>
      <c r="Q54" s="183">
        <f t="shared" si="5"/>
        <v>535266.28933985881</v>
      </c>
      <c r="R54" s="184">
        <f t="shared" si="0"/>
        <v>5678061.8182261698</v>
      </c>
      <c r="S54" s="181">
        <f t="shared" si="6"/>
        <v>7149167.2850678731</v>
      </c>
      <c r="T54" s="13">
        <f t="shared" si="1"/>
        <v>4395590.7434079787</v>
      </c>
      <c r="U54" s="13">
        <f t="shared" si="7"/>
        <v>11544758.028475851</v>
      </c>
      <c r="W54" s="13">
        <f t="shared" si="12"/>
        <v>2329584.4</v>
      </c>
      <c r="X54" s="3">
        <f t="shared" si="8"/>
        <v>0</v>
      </c>
      <c r="Y54" s="3">
        <f t="shared" si="9"/>
        <v>5678061.8182261698</v>
      </c>
      <c r="Z54" s="13">
        <f t="shared" si="10"/>
        <v>8007646.2182261702</v>
      </c>
      <c r="AA54" s="3">
        <f t="shared" si="11"/>
        <v>3537111.8102496807</v>
      </c>
      <c r="AB54" s="13">
        <f t="shared" si="13"/>
        <v>-94150850.256504416</v>
      </c>
    </row>
    <row r="55" spans="6:28" x14ac:dyDescent="0.25">
      <c r="M55" s="3">
        <f t="shared" si="2"/>
        <v>80.090497169421496</v>
      </c>
      <c r="N55" s="6">
        <v>15</v>
      </c>
      <c r="O55" s="184">
        <f t="shared" si="14"/>
        <v>21620518.938106626</v>
      </c>
      <c r="P55" s="182">
        <f t="shared" si="4"/>
        <v>0.02</v>
      </c>
      <c r="Q55" s="183">
        <f t="shared" si="5"/>
        <v>432410.37876213255</v>
      </c>
      <c r="R55" s="184">
        <f t="shared" si="0"/>
        <v>5678061.8182261698</v>
      </c>
      <c r="S55" s="181">
        <f t="shared" si="6"/>
        <v>7149167.2850678731</v>
      </c>
      <c r="T55" s="13">
        <f t="shared" si="1"/>
        <v>4395590.7434079787</v>
      </c>
      <c r="U55" s="13">
        <f t="shared" si="7"/>
        <v>11544758.028475851</v>
      </c>
      <c r="W55" s="13">
        <f t="shared" si="12"/>
        <v>2329584.4</v>
      </c>
      <c r="X55" s="3">
        <f t="shared" si="8"/>
        <v>0</v>
      </c>
      <c r="Y55" s="3">
        <f t="shared" si="9"/>
        <v>5678061.8182261698</v>
      </c>
      <c r="Z55" s="13">
        <f t="shared" si="10"/>
        <v>8007646.2182261702</v>
      </c>
      <c r="AA55" s="3">
        <f t="shared" si="11"/>
        <v>3537111.8102496807</v>
      </c>
      <c r="AB55" s="13">
        <f t="shared" si="13"/>
        <v>-90613738.44625473</v>
      </c>
    </row>
    <row r="56" spans="6:28" x14ac:dyDescent="0.25">
      <c r="M56" s="3">
        <f t="shared" si="2"/>
        <v>80.090497169421496</v>
      </c>
      <c r="N56" s="6">
        <v>16</v>
      </c>
      <c r="O56" s="184">
        <f t="shared" si="14"/>
        <v>16374867.49864259</v>
      </c>
      <c r="P56" s="182">
        <f t="shared" si="4"/>
        <v>0.02</v>
      </c>
      <c r="Q56" s="183">
        <f t="shared" si="5"/>
        <v>327497.34997285181</v>
      </c>
      <c r="R56" s="184">
        <f t="shared" si="0"/>
        <v>5678061.8182261698</v>
      </c>
      <c r="S56" s="181">
        <f t="shared" si="6"/>
        <v>7149167.2850678731</v>
      </c>
      <c r="T56" s="13">
        <f>$D$40*M56</f>
        <v>34798199.753153272</v>
      </c>
      <c r="U56" s="13">
        <f t="shared" si="7"/>
        <v>41947367.038221143</v>
      </c>
      <c r="W56" s="13">
        <f t="shared" si="12"/>
        <v>2329584.4</v>
      </c>
      <c r="X56" s="3">
        <f>$X$37*$D$11</f>
        <v>0</v>
      </c>
      <c r="Y56" s="3">
        <f t="shared" si="9"/>
        <v>5678061.8182261698</v>
      </c>
      <c r="Z56" s="13">
        <f t="shared" si="10"/>
        <v>8007646.2182261702</v>
      </c>
      <c r="AA56" s="3">
        <f t="shared" si="11"/>
        <v>33939720.819994971</v>
      </c>
      <c r="AB56" s="13">
        <f t="shared" si="13"/>
        <v>-56674017.626259759</v>
      </c>
    </row>
    <row r="57" spans="6:28" x14ac:dyDescent="0.25">
      <c r="M57" s="3">
        <f t="shared" si="2"/>
        <v>80.090497169421496</v>
      </c>
      <c r="N57" s="6">
        <v>17</v>
      </c>
      <c r="O57" s="184">
        <f t="shared" si="14"/>
        <v>11024303.030389272</v>
      </c>
      <c r="P57" s="182">
        <f t="shared" si="4"/>
        <v>0.02</v>
      </c>
      <c r="Q57" s="183">
        <f t="shared" si="5"/>
        <v>220486.06060778545</v>
      </c>
      <c r="R57" s="184">
        <f t="shared" si="0"/>
        <v>5678061.8182261698</v>
      </c>
      <c r="S57" s="181">
        <f t="shared" si="6"/>
        <v>7149167.2850678731</v>
      </c>
      <c r="T57" s="13">
        <f t="shared" ref="T57:T60" si="15">$D$40*M57</f>
        <v>34798199.753153272</v>
      </c>
      <c r="U57" s="13">
        <f t="shared" si="7"/>
        <v>41947367.038221143</v>
      </c>
      <c r="W57" s="13">
        <f t="shared" si="12"/>
        <v>2329584.4</v>
      </c>
      <c r="X57" s="3">
        <f>$X$37*$D$11</f>
        <v>0</v>
      </c>
      <c r="Y57" s="3">
        <f t="shared" si="9"/>
        <v>5678061.8182261698</v>
      </c>
      <c r="Z57" s="13">
        <f t="shared" si="10"/>
        <v>8007646.2182261702</v>
      </c>
      <c r="AA57" s="3">
        <f t="shared" si="11"/>
        <v>33939720.819994971</v>
      </c>
      <c r="AB57" s="13">
        <f t="shared" si="13"/>
        <v>-22734296.806264788</v>
      </c>
    </row>
    <row r="58" spans="6:28" x14ac:dyDescent="0.25">
      <c r="M58" s="3">
        <f t="shared" si="2"/>
        <v>80.090497169421496</v>
      </c>
      <c r="N58" s="6">
        <v>18</v>
      </c>
      <c r="O58" s="184">
        <f>O57+Q57-R57</f>
        <v>5566727.2727708872</v>
      </c>
      <c r="P58" s="182">
        <f t="shared" si="4"/>
        <v>0.02</v>
      </c>
      <c r="Q58" s="183">
        <f t="shared" si="5"/>
        <v>111334.54545541774</v>
      </c>
      <c r="R58" s="184">
        <f t="shared" si="0"/>
        <v>5678061.8182261698</v>
      </c>
      <c r="S58" s="181">
        <f t="shared" si="6"/>
        <v>7149167.2850678731</v>
      </c>
      <c r="T58" s="13">
        <f t="shared" si="15"/>
        <v>34798199.753153272</v>
      </c>
      <c r="U58" s="13">
        <f t="shared" si="7"/>
        <v>41947367.038221143</v>
      </c>
      <c r="W58" s="13">
        <f t="shared" si="12"/>
        <v>2329584.4</v>
      </c>
      <c r="X58" s="3">
        <f>$X$37*$D$11</f>
        <v>0</v>
      </c>
      <c r="Y58" s="3">
        <f t="shared" si="9"/>
        <v>5678061.8182261698</v>
      </c>
      <c r="Z58" s="13">
        <f t="shared" si="10"/>
        <v>8007646.2182261702</v>
      </c>
      <c r="AA58" s="3">
        <f t="shared" si="11"/>
        <v>33939720.819994971</v>
      </c>
      <c r="AB58" s="13">
        <f t="shared" si="13"/>
        <v>11205424.013730185</v>
      </c>
    </row>
    <row r="59" spans="6:28" x14ac:dyDescent="0.25">
      <c r="M59" s="3">
        <f t="shared" si="2"/>
        <v>80.090497169421496</v>
      </c>
      <c r="N59" s="6">
        <v>19</v>
      </c>
      <c r="O59" s="184">
        <f>O58+Q58-R58</f>
        <v>1.3504177331924438E-7</v>
      </c>
      <c r="P59" s="182">
        <v>0</v>
      </c>
      <c r="Q59" s="183">
        <v>0</v>
      </c>
      <c r="R59" s="184">
        <v>0</v>
      </c>
      <c r="S59" s="181">
        <f t="shared" si="6"/>
        <v>7149167.2850678731</v>
      </c>
      <c r="T59" s="13">
        <f t="shared" si="15"/>
        <v>34798199.753153272</v>
      </c>
      <c r="U59" s="13">
        <f t="shared" si="7"/>
        <v>41947367.038221143</v>
      </c>
      <c r="W59" s="13">
        <f t="shared" si="12"/>
        <v>2329584.4</v>
      </c>
      <c r="X59" s="3">
        <f>$X$37*$D$11</f>
        <v>0</v>
      </c>
      <c r="Y59" s="3">
        <f t="shared" si="9"/>
        <v>0</v>
      </c>
      <c r="Z59" s="13">
        <f t="shared" si="10"/>
        <v>2329584.4</v>
      </c>
      <c r="AA59" s="3">
        <f t="shared" si="11"/>
        <v>39617782.638221145</v>
      </c>
      <c r="AB59" s="13">
        <f t="shared" si="13"/>
        <v>50823206.651951328</v>
      </c>
    </row>
    <row r="60" spans="6:28" x14ac:dyDescent="0.25">
      <c r="M60" s="3">
        <f t="shared" si="2"/>
        <v>80.090497169421496</v>
      </c>
      <c r="N60" s="6">
        <v>20</v>
      </c>
      <c r="O60" s="184">
        <v>0</v>
      </c>
      <c r="P60" s="182">
        <v>0</v>
      </c>
      <c r="Q60" s="183">
        <v>0</v>
      </c>
      <c r="R60" s="184">
        <v>0</v>
      </c>
      <c r="S60" s="181">
        <f t="shared" si="6"/>
        <v>7149167.2850678731</v>
      </c>
      <c r="T60" s="13">
        <f t="shared" si="15"/>
        <v>34798199.753153272</v>
      </c>
      <c r="U60" s="13">
        <f t="shared" si="7"/>
        <v>41947367.038221143</v>
      </c>
      <c r="W60" s="13">
        <f t="shared" si="12"/>
        <v>2329584.4</v>
      </c>
      <c r="X60" s="3">
        <f>$X$37*$D$11</f>
        <v>0</v>
      </c>
      <c r="Y60" s="3">
        <f t="shared" si="9"/>
        <v>0</v>
      </c>
      <c r="Z60" s="13">
        <f t="shared" si="10"/>
        <v>2329584.4</v>
      </c>
      <c r="AA60" s="3">
        <f t="shared" si="11"/>
        <v>39617782.638221145</v>
      </c>
      <c r="AB60" s="13">
        <f t="shared" si="13"/>
        <v>90440989.290172458</v>
      </c>
    </row>
    <row r="61" spans="6:28" x14ac:dyDescent="0.25">
      <c r="M61" s="192"/>
      <c r="N61" s="191" t="s">
        <v>114</v>
      </c>
      <c r="O61" s="192"/>
      <c r="P61" s="191"/>
      <c r="Q61" s="193">
        <f t="shared" ref="Q61:V61" si="16">SUM(Q41:Q60)</f>
        <v>17079432.500032868</v>
      </c>
      <c r="R61" s="192">
        <f t="shared" si="16"/>
        <v>102205112.72807109</v>
      </c>
      <c r="S61" s="194">
        <f t="shared" si="16"/>
        <v>142983345.70135745</v>
      </c>
      <c r="T61" s="194">
        <f t="shared" si="16"/>
        <v>239924859.91688603</v>
      </c>
      <c r="U61" s="194">
        <f t="shared" si="16"/>
        <v>382908205.61824346</v>
      </c>
      <c r="V61" s="194">
        <f t="shared" si="16"/>
        <v>146000000</v>
      </c>
      <c r="W61" s="194">
        <f>SUM(W42:W60)</f>
        <v>44262103.599999987</v>
      </c>
      <c r="X61" s="194">
        <f>SUM(X42:X60)</f>
        <v>0</v>
      </c>
      <c r="Y61" s="194"/>
      <c r="Z61" s="194">
        <f>SUM(Z41:Z60)</f>
        <v>292467216.32807106</v>
      </c>
      <c r="AA61" s="194">
        <f t="shared" si="11"/>
        <v>90440989.290172398</v>
      </c>
      <c r="AB61" s="196">
        <f>AA61/V61</f>
        <v>0.61945883075460551</v>
      </c>
    </row>
    <row r="66" spans="13:28" x14ac:dyDescent="0.25">
      <c r="M66" s="200"/>
      <c r="N66" s="201" t="s">
        <v>113</v>
      </c>
      <c r="O66" s="187">
        <f>O68+Q66</f>
        <v>73088011.724207357</v>
      </c>
      <c r="P66" s="200"/>
      <c r="Q66" s="188">
        <v>12213691.952245709</v>
      </c>
      <c r="R66" s="190">
        <f>SUM($Q$68:$Q$85)</f>
        <v>12213691.952245705</v>
      </c>
      <c r="S66" s="199"/>
      <c r="T66" s="199"/>
      <c r="U66" s="199"/>
      <c r="V66" s="199"/>
      <c r="W66" s="199"/>
      <c r="X66" s="199"/>
      <c r="Y66" s="199"/>
      <c r="Z66" s="199"/>
      <c r="AA66" s="199"/>
      <c r="AB66" s="199"/>
    </row>
    <row r="68" spans="13:28" x14ac:dyDescent="0.25">
      <c r="N68" s="37">
        <v>1</v>
      </c>
      <c r="O68" s="38">
        <v>60874319.771961644</v>
      </c>
      <c r="P68" s="39">
        <f t="shared" ref="P68:P85" si="17">$D$25</f>
        <v>0.02</v>
      </c>
      <c r="Q68" s="40">
        <f>O68*P68</f>
        <v>1217486.3954392329</v>
      </c>
      <c r="R68" s="41">
        <f t="shared" ref="R68:R85" si="18">($O$68+$Q$66)/$N$85</f>
        <v>4060445.0957892975</v>
      </c>
    </row>
    <row r="69" spans="13:28" x14ac:dyDescent="0.25">
      <c r="N69" s="37">
        <v>2</v>
      </c>
      <c r="O69" s="41">
        <f t="shared" ref="O69:O76" si="19">O68+Q68-R68</f>
        <v>58031361.071611576</v>
      </c>
      <c r="P69" s="39">
        <f t="shared" si="17"/>
        <v>0.02</v>
      </c>
      <c r="Q69" s="40">
        <f>O69*P69</f>
        <v>1160627.2214322316</v>
      </c>
      <c r="R69" s="41">
        <f t="shared" si="18"/>
        <v>4060445.0957892975</v>
      </c>
      <c r="AB69" s="16"/>
    </row>
    <row r="70" spans="13:28" x14ac:dyDescent="0.25">
      <c r="N70" s="37">
        <v>3</v>
      </c>
      <c r="O70" s="41">
        <f t="shared" si="19"/>
        <v>55131543.197254509</v>
      </c>
      <c r="P70" s="39">
        <f t="shared" si="17"/>
        <v>0.02</v>
      </c>
      <c r="Q70" s="40">
        <f t="shared" ref="Q70:Q85" si="20">O70*P70</f>
        <v>1102630.8639450902</v>
      </c>
      <c r="R70" s="41">
        <f t="shared" si="18"/>
        <v>4060445.0957892975</v>
      </c>
    </row>
    <row r="71" spans="13:28" x14ac:dyDescent="0.25">
      <c r="N71" s="37">
        <v>4</v>
      </c>
      <c r="O71" s="41">
        <f t="shared" si="19"/>
        <v>52173728.9654103</v>
      </c>
      <c r="P71" s="39">
        <f t="shared" si="17"/>
        <v>0.02</v>
      </c>
      <c r="Q71" s="40">
        <f t="shared" si="20"/>
        <v>1043474.579308206</v>
      </c>
      <c r="R71" s="41">
        <f t="shared" si="18"/>
        <v>4060445.0957892975</v>
      </c>
    </row>
    <row r="72" spans="13:28" x14ac:dyDescent="0.25">
      <c r="N72" s="37">
        <v>5</v>
      </c>
      <c r="O72" s="41">
        <f t="shared" si="19"/>
        <v>49156758.448929206</v>
      </c>
      <c r="P72" s="39">
        <f t="shared" si="17"/>
        <v>0.02</v>
      </c>
      <c r="Q72" s="40">
        <f t="shared" si="20"/>
        <v>983135.16897858412</v>
      </c>
      <c r="R72" s="41">
        <f t="shared" si="18"/>
        <v>4060445.0957892975</v>
      </c>
    </row>
    <row r="73" spans="13:28" x14ac:dyDescent="0.25">
      <c r="N73" s="37">
        <v>6</v>
      </c>
      <c r="O73" s="41">
        <f t="shared" si="19"/>
        <v>46079448.522118494</v>
      </c>
      <c r="P73" s="39">
        <f t="shared" si="17"/>
        <v>0.02</v>
      </c>
      <c r="Q73" s="40">
        <f t="shared" si="20"/>
        <v>921588.97044236993</v>
      </c>
      <c r="R73" s="41">
        <f t="shared" si="18"/>
        <v>4060445.0957892975</v>
      </c>
    </row>
    <row r="74" spans="13:28" x14ac:dyDescent="0.25">
      <c r="N74" s="37">
        <v>7</v>
      </c>
      <c r="O74" s="41">
        <f t="shared" si="19"/>
        <v>42940592.396771565</v>
      </c>
      <c r="P74" s="39">
        <f t="shared" si="17"/>
        <v>0.02</v>
      </c>
      <c r="Q74" s="40">
        <f t="shared" si="20"/>
        <v>858811.84793543129</v>
      </c>
      <c r="R74" s="41">
        <f t="shared" si="18"/>
        <v>4060445.0957892975</v>
      </c>
    </row>
    <row r="75" spans="13:28" x14ac:dyDescent="0.25">
      <c r="N75" s="37">
        <v>8</v>
      </c>
      <c r="O75" s="41">
        <f t="shared" si="19"/>
        <v>39738959.148917697</v>
      </c>
      <c r="P75" s="39">
        <f t="shared" si="17"/>
        <v>0.02</v>
      </c>
      <c r="Q75" s="40">
        <f t="shared" si="20"/>
        <v>794779.18297835393</v>
      </c>
      <c r="R75" s="41">
        <f t="shared" si="18"/>
        <v>4060445.0957892975</v>
      </c>
    </row>
    <row r="76" spans="13:28" x14ac:dyDescent="0.25">
      <c r="N76" s="37">
        <v>9</v>
      </c>
      <c r="O76" s="41">
        <f t="shared" si="19"/>
        <v>36473293.236106753</v>
      </c>
      <c r="P76" s="39">
        <f t="shared" si="17"/>
        <v>0.02</v>
      </c>
      <c r="Q76" s="40">
        <f t="shared" si="20"/>
        <v>729465.86472213513</v>
      </c>
      <c r="R76" s="41">
        <f t="shared" si="18"/>
        <v>4060445.0957892975</v>
      </c>
    </row>
    <row r="77" spans="13:28" x14ac:dyDescent="0.25">
      <c r="N77" s="37">
        <v>10</v>
      </c>
      <c r="O77" s="41">
        <f t="shared" ref="O77:O86" si="21">O76+Q76-R76</f>
        <v>33142314.005039588</v>
      </c>
      <c r="P77" s="39">
        <f t="shared" si="17"/>
        <v>0.02</v>
      </c>
      <c r="Q77" s="40">
        <f t="shared" si="20"/>
        <v>662846.28010079172</v>
      </c>
      <c r="R77" s="41">
        <f t="shared" si="18"/>
        <v>4060445.0957892975</v>
      </c>
    </row>
    <row r="78" spans="13:28" x14ac:dyDescent="0.25">
      <c r="N78" s="37">
        <v>11</v>
      </c>
      <c r="O78" s="41">
        <f t="shared" si="21"/>
        <v>29744715.189351082</v>
      </c>
      <c r="P78" s="39">
        <f t="shared" si="17"/>
        <v>0.02</v>
      </c>
      <c r="Q78" s="40">
        <f t="shared" si="20"/>
        <v>594894.30378702166</v>
      </c>
      <c r="R78" s="41">
        <f t="shared" si="18"/>
        <v>4060445.0957892975</v>
      </c>
    </row>
    <row r="79" spans="13:28" x14ac:dyDescent="0.25">
      <c r="N79" s="37">
        <v>12</v>
      </c>
      <c r="O79" s="41">
        <f t="shared" si="21"/>
        <v>26279164.397348806</v>
      </c>
      <c r="P79" s="39">
        <f t="shared" si="17"/>
        <v>0.02</v>
      </c>
      <c r="Q79" s="40">
        <f t="shared" si="20"/>
        <v>525583.28794697614</v>
      </c>
      <c r="R79" s="41">
        <f t="shared" si="18"/>
        <v>4060445.0957892975</v>
      </c>
    </row>
    <row r="80" spans="13:28" x14ac:dyDescent="0.25">
      <c r="N80" s="37">
        <v>13</v>
      </c>
      <c r="O80" s="41">
        <f t="shared" si="21"/>
        <v>22744302.589506485</v>
      </c>
      <c r="P80" s="39">
        <f t="shared" si="17"/>
        <v>0.02</v>
      </c>
      <c r="Q80" s="40">
        <f t="shared" si="20"/>
        <v>454886.05179012968</v>
      </c>
      <c r="R80" s="41">
        <f t="shared" si="18"/>
        <v>4060445.0957892975</v>
      </c>
    </row>
    <row r="81" spans="14:18" x14ac:dyDescent="0.25">
      <c r="N81" s="37">
        <v>14</v>
      </c>
      <c r="O81" s="41">
        <f t="shared" si="21"/>
        <v>19138743.545507316</v>
      </c>
      <c r="P81" s="39">
        <f t="shared" si="17"/>
        <v>0.02</v>
      </c>
      <c r="Q81" s="40">
        <f t="shared" si="20"/>
        <v>382774.87091014633</v>
      </c>
      <c r="R81" s="41">
        <f t="shared" si="18"/>
        <v>4060445.0957892975</v>
      </c>
    </row>
    <row r="82" spans="14:18" x14ac:dyDescent="0.25">
      <c r="N82" s="37">
        <v>15</v>
      </c>
      <c r="O82" s="41">
        <f t="shared" si="21"/>
        <v>15461073.320628162</v>
      </c>
      <c r="P82" s="39">
        <f t="shared" si="17"/>
        <v>0.02</v>
      </c>
      <c r="Q82" s="40">
        <f t="shared" si="20"/>
        <v>309221.46641256328</v>
      </c>
      <c r="R82" s="41">
        <f t="shared" si="18"/>
        <v>4060445.0957892975</v>
      </c>
    </row>
    <row r="83" spans="14:18" x14ac:dyDescent="0.25">
      <c r="N83" s="37">
        <v>16</v>
      </c>
      <c r="O83" s="41">
        <f t="shared" si="21"/>
        <v>11709849.691251427</v>
      </c>
      <c r="P83" s="39">
        <f t="shared" si="17"/>
        <v>0.02</v>
      </c>
      <c r="Q83" s="40">
        <f t="shared" si="20"/>
        <v>234196.99382502853</v>
      </c>
      <c r="R83" s="41">
        <f t="shared" si="18"/>
        <v>4060445.0957892975</v>
      </c>
    </row>
    <row r="84" spans="14:18" x14ac:dyDescent="0.25">
      <c r="N84" s="37">
        <v>17</v>
      </c>
      <c r="O84" s="41">
        <f t="shared" si="21"/>
        <v>7883601.5892871572</v>
      </c>
      <c r="P84" s="39">
        <f t="shared" si="17"/>
        <v>0.02</v>
      </c>
      <c r="Q84" s="40">
        <f t="shared" si="20"/>
        <v>157672.03178574314</v>
      </c>
      <c r="R84" s="41">
        <f t="shared" si="18"/>
        <v>4060445.0957892975</v>
      </c>
    </row>
    <row r="85" spans="14:18" x14ac:dyDescent="0.25">
      <c r="N85" s="37">
        <v>18</v>
      </c>
      <c r="O85" s="41">
        <f t="shared" si="21"/>
        <v>3980828.525283603</v>
      </c>
      <c r="P85" s="39">
        <f t="shared" si="17"/>
        <v>0.02</v>
      </c>
      <c r="Q85" s="40">
        <f t="shared" si="20"/>
        <v>79616.570505672062</v>
      </c>
      <c r="R85" s="41">
        <f t="shared" si="18"/>
        <v>4060445.0957892975</v>
      </c>
    </row>
    <row r="86" spans="14:18" x14ac:dyDescent="0.25">
      <c r="N86" s="185"/>
      <c r="O86" s="41">
        <f t="shared" si="21"/>
        <v>-2.2351741790771484E-8</v>
      </c>
      <c r="P86" s="185"/>
      <c r="Q86" s="6"/>
      <c r="R86" s="83">
        <f>SUM(R68:R85)</f>
        <v>73088011.724207357</v>
      </c>
    </row>
    <row r="87" spans="14:18" x14ac:dyDescent="0.25">
      <c r="N87" s="6"/>
      <c r="O87" s="6"/>
      <c r="P87" s="6"/>
      <c r="Q87" s="6"/>
    </row>
  </sheetData>
  <mergeCells count="10">
    <mergeCell ref="B7:B8"/>
    <mergeCell ref="B10:B11"/>
    <mergeCell ref="B17:B18"/>
    <mergeCell ref="O39:R39"/>
    <mergeCell ref="S39:U39"/>
    <mergeCell ref="V39:Z39"/>
    <mergeCell ref="AA39:AA40"/>
    <mergeCell ref="AB39:AB40"/>
    <mergeCell ref="M39:M40"/>
    <mergeCell ref="N39:N40"/>
  </mergeCells>
  <phoneticPr fontId="11" type="noConversion"/>
  <hyperlinks>
    <hyperlink ref="E6" r:id="rId1" xr:uid="{2F18563F-8AF8-4F06-9FF3-02E5D3D4FF26}"/>
    <hyperlink ref="E11" r:id="rId2" xr:uid="{892A404E-20ED-4761-A548-1B443F18DDE3}"/>
    <hyperlink ref="E12" r:id="rId3" xr:uid="{6222C4D0-7896-461A-9DF3-210830944E02}"/>
    <hyperlink ref="E7" r:id="rId4" xr:uid="{62B5BEC9-9648-4752-AB1F-F8F1EA0C2E26}"/>
    <hyperlink ref="E15" r:id="rId5" xr:uid="{24AAA9EE-C535-4A19-AE05-ACCBB717DBD4}"/>
    <hyperlink ref="E16" r:id="rId6" xr:uid="{3DFD9B89-378D-4053-824E-A92F7B5FF24E}"/>
    <hyperlink ref="E19" r:id="rId7" xr:uid="{19A5B9C2-E162-473D-B9F5-830D1D5ED053}"/>
    <hyperlink ref="E21" r:id="rId8" xr:uid="{7C2A1FC5-75C3-4CDD-A004-1585FF411C74}"/>
    <hyperlink ref="E22" r:id="rId9" xr:uid="{2190E2DF-5C5E-4F51-8F42-4DAA7EB7987F}"/>
    <hyperlink ref="E23" r:id="rId10" xr:uid="{CC97972E-433B-4C5F-80A5-2D67E7A0A021}"/>
    <hyperlink ref="E24" r:id="rId11" xr:uid="{5575E3C6-F5D2-4F70-A523-986310636DF7}"/>
    <hyperlink ref="E25" r:id="rId12" xr:uid="{1FD19A47-0BAA-4184-B31C-4D2B8B9F6B24}"/>
    <hyperlink ref="E32" r:id="rId13" xr:uid="{EDF37F1B-43D2-45B5-976D-CA2F55FEB086}"/>
    <hyperlink ref="E34" r:id="rId14" xr:uid="{59E40F2F-C421-4EA7-9F17-824467100961}"/>
    <hyperlink ref="E20" r:id="rId15" xr:uid="{FF8BC050-8CD7-427A-A134-D074DE86675C}"/>
  </hyperlinks>
  <pageMargins left="0.7" right="0.7" top="0.75" bottom="0.75" header="0.3" footer="0.3"/>
  <drawing r:id="rId1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BDC0D-1915-4850-BA7E-C24533F58B0F}">
  <dimension ref="B2:F36"/>
  <sheetViews>
    <sheetView tabSelected="1" workbookViewId="0">
      <selection activeCell="I35" sqref="I35"/>
    </sheetView>
  </sheetViews>
  <sheetFormatPr baseColWidth="10" defaultRowHeight="15" x14ac:dyDescent="0.25"/>
  <cols>
    <col min="3" max="3" width="30.140625" customWidth="1"/>
    <col min="4" max="4" width="12" customWidth="1"/>
    <col min="5" max="5" width="22.28515625" customWidth="1"/>
    <col min="6" max="6" width="12" customWidth="1"/>
  </cols>
  <sheetData>
    <row r="2" spans="2:6" x14ac:dyDescent="0.25">
      <c r="C2" s="213" t="s">
        <v>127</v>
      </c>
      <c r="D2" s="213" t="s">
        <v>81</v>
      </c>
      <c r="E2" s="213" t="s">
        <v>128</v>
      </c>
      <c r="F2" s="11" t="s">
        <v>101</v>
      </c>
    </row>
    <row r="3" spans="2:6" x14ac:dyDescent="0.25">
      <c r="B3" s="6"/>
      <c r="C3" s="9" t="s">
        <v>46</v>
      </c>
      <c r="D3" s="9"/>
      <c r="E3" s="212" t="s">
        <v>126</v>
      </c>
    </row>
    <row r="4" spans="2:6" x14ac:dyDescent="0.25">
      <c r="B4" s="6"/>
      <c r="C4" s="214" t="s">
        <v>5</v>
      </c>
      <c r="D4" s="9" t="s">
        <v>83</v>
      </c>
      <c r="E4" s="202">
        <v>198.77</v>
      </c>
    </row>
    <row r="5" spans="2:6" x14ac:dyDescent="0.25">
      <c r="B5" s="9"/>
      <c r="C5" s="9" t="s">
        <v>9</v>
      </c>
      <c r="D5" s="9" t="s">
        <v>11</v>
      </c>
      <c r="E5" s="204">
        <v>5.2322220000000002</v>
      </c>
    </row>
    <row r="6" spans="2:6" x14ac:dyDescent="0.25">
      <c r="B6" s="9"/>
      <c r="C6" s="214" t="s">
        <v>8</v>
      </c>
      <c r="D6" s="9" t="s">
        <v>50</v>
      </c>
      <c r="E6" s="205">
        <f>E4*365*E5/1000</f>
        <v>379.60319993310003</v>
      </c>
    </row>
    <row r="7" spans="2:6" x14ac:dyDescent="0.25">
      <c r="B7" s="9"/>
      <c r="C7" s="9" t="s">
        <v>57</v>
      </c>
      <c r="D7" s="9" t="s">
        <v>62</v>
      </c>
      <c r="E7" s="205">
        <v>434486</v>
      </c>
    </row>
    <row r="8" spans="2:6" x14ac:dyDescent="0.25">
      <c r="B8" s="9"/>
      <c r="C8" s="9" t="s">
        <v>36</v>
      </c>
      <c r="D8" s="9" t="s">
        <v>0</v>
      </c>
      <c r="E8" s="203">
        <v>500</v>
      </c>
    </row>
    <row r="9" spans="2:6" x14ac:dyDescent="0.25">
      <c r="B9" s="9"/>
      <c r="C9" s="9" t="s">
        <v>2</v>
      </c>
      <c r="D9" s="9" t="s">
        <v>3</v>
      </c>
      <c r="E9" s="206">
        <v>146000000</v>
      </c>
    </row>
    <row r="10" spans="2:6" x14ac:dyDescent="0.25">
      <c r="C10" s="9" t="s">
        <v>86</v>
      </c>
      <c r="D10" s="9" t="s">
        <v>56</v>
      </c>
      <c r="E10" s="207">
        <v>15</v>
      </c>
    </row>
    <row r="11" spans="2:6" x14ac:dyDescent="0.25">
      <c r="C11" s="9" t="s">
        <v>87</v>
      </c>
      <c r="D11" s="9" t="s">
        <v>56</v>
      </c>
      <c r="E11" s="207">
        <v>20</v>
      </c>
    </row>
    <row r="12" spans="2:6" x14ac:dyDescent="0.25">
      <c r="C12" s="9" t="s">
        <v>30</v>
      </c>
      <c r="D12" s="9" t="s">
        <v>85</v>
      </c>
      <c r="E12" s="208">
        <v>43483</v>
      </c>
    </row>
    <row r="13" spans="2:6" x14ac:dyDescent="0.25">
      <c r="C13" s="9" t="s">
        <v>27</v>
      </c>
      <c r="D13" s="9" t="s">
        <v>37</v>
      </c>
      <c r="E13" s="209">
        <f>2904000000/131402714</f>
        <v>22.100000156769973</v>
      </c>
    </row>
    <row r="14" spans="2:6" x14ac:dyDescent="0.25">
      <c r="C14" s="9" t="s">
        <v>22</v>
      </c>
      <c r="D14" s="9" t="s">
        <v>10</v>
      </c>
      <c r="E14" s="210">
        <f>157996597/E13</f>
        <v>7149167.2343540834</v>
      </c>
    </row>
    <row r="15" spans="2:6" x14ac:dyDescent="0.25">
      <c r="C15" s="9" t="s">
        <v>57</v>
      </c>
      <c r="D15" s="9" t="s">
        <v>10</v>
      </c>
      <c r="E15" s="211" t="s">
        <v>67</v>
      </c>
    </row>
    <row r="16" spans="2:6" x14ac:dyDescent="0.25">
      <c r="C16" s="9" t="s">
        <v>24</v>
      </c>
      <c r="D16" s="9" t="s">
        <v>25</v>
      </c>
      <c r="E16" s="209">
        <f>E9/(E4*1000000)</f>
        <v>0.73451728127987126</v>
      </c>
    </row>
    <row r="19" spans="2:5" ht="30" x14ac:dyDescent="0.25">
      <c r="B19" s="6"/>
      <c r="C19" s="90" t="s">
        <v>47</v>
      </c>
      <c r="D19" s="37"/>
      <c r="E19" s="91" t="s">
        <v>61</v>
      </c>
    </row>
    <row r="20" spans="2:5" x14ac:dyDescent="0.25">
      <c r="B20" s="6"/>
      <c r="C20" s="94" t="s">
        <v>18</v>
      </c>
      <c r="D20" s="37"/>
      <c r="E20" s="51"/>
    </row>
    <row r="21" spans="2:5" x14ac:dyDescent="0.25">
      <c r="B21" s="6"/>
      <c r="C21" s="94" t="s">
        <v>34</v>
      </c>
      <c r="D21" s="37" t="s">
        <v>19</v>
      </c>
      <c r="E21" s="51"/>
    </row>
    <row r="22" spans="2:5" x14ac:dyDescent="0.25">
      <c r="C22" s="117" t="s">
        <v>4</v>
      </c>
      <c r="D22" s="37" t="s">
        <v>1</v>
      </c>
      <c r="E22" s="113">
        <v>11.72</v>
      </c>
    </row>
    <row r="23" spans="2:5" x14ac:dyDescent="0.25">
      <c r="C23" s="118" t="s">
        <v>4</v>
      </c>
      <c r="D23" s="37" t="s">
        <v>10</v>
      </c>
      <c r="E23" s="96">
        <f>E22*E35</f>
        <v>2329584.4</v>
      </c>
    </row>
    <row r="24" spans="2:5" x14ac:dyDescent="0.25">
      <c r="C24" s="50" t="s">
        <v>26</v>
      </c>
      <c r="D24" s="37" t="s">
        <v>56</v>
      </c>
      <c r="E24" s="110">
        <f>7/12</f>
        <v>0.58333333333333337</v>
      </c>
    </row>
    <row r="25" spans="2:5" x14ac:dyDescent="0.25">
      <c r="C25" s="50" t="s">
        <v>14</v>
      </c>
      <c r="D25" s="37" t="s">
        <v>3</v>
      </c>
      <c r="E25" s="113">
        <f>M21*E9</f>
        <v>0</v>
      </c>
    </row>
    <row r="26" spans="2:5" x14ac:dyDescent="0.25">
      <c r="C26" s="50" t="s">
        <v>15</v>
      </c>
      <c r="D26" s="37" t="s">
        <v>56</v>
      </c>
      <c r="E26" s="109">
        <v>18</v>
      </c>
    </row>
    <row r="27" spans="2:5" x14ac:dyDescent="0.25">
      <c r="C27" s="50" t="s">
        <v>16</v>
      </c>
      <c r="D27" s="37" t="s">
        <v>20</v>
      </c>
      <c r="E27" s="115">
        <v>0.02</v>
      </c>
    </row>
    <row r="28" spans="2:5" x14ac:dyDescent="0.25">
      <c r="C28" s="50" t="s">
        <v>58</v>
      </c>
      <c r="D28" s="37" t="s">
        <v>3</v>
      </c>
      <c r="E28" s="98">
        <f>E9-E25</f>
        <v>146000000</v>
      </c>
    </row>
    <row r="29" spans="2:5" x14ac:dyDescent="0.25">
      <c r="C29" s="50" t="s">
        <v>55</v>
      </c>
      <c r="D29" s="37" t="s">
        <v>3</v>
      </c>
      <c r="E29" s="98">
        <f>R64</f>
        <v>0</v>
      </c>
    </row>
    <row r="30" spans="2:5" x14ac:dyDescent="0.25">
      <c r="C30" s="50" t="s">
        <v>52</v>
      </c>
      <c r="D30" s="37" t="s">
        <v>3</v>
      </c>
      <c r="E30" s="98">
        <f>R17</f>
        <v>0</v>
      </c>
    </row>
    <row r="31" spans="2:5" x14ac:dyDescent="0.25">
      <c r="C31" s="50" t="s">
        <v>53</v>
      </c>
      <c r="D31" s="37" t="s">
        <v>3</v>
      </c>
      <c r="E31" s="99">
        <f>E23*E11</f>
        <v>46591688</v>
      </c>
    </row>
    <row r="32" spans="2:5" x14ac:dyDescent="0.25">
      <c r="C32" s="50" t="s">
        <v>54</v>
      </c>
      <c r="D32" s="37" t="s">
        <v>3</v>
      </c>
      <c r="E32" s="98">
        <f>E9+E29+E30+E31</f>
        <v>192591688</v>
      </c>
    </row>
    <row r="33" spans="2:5" x14ac:dyDescent="0.25">
      <c r="C33" s="50" t="s">
        <v>17</v>
      </c>
      <c r="D33" s="37" t="s">
        <v>21</v>
      </c>
      <c r="E33" s="51"/>
    </row>
    <row r="34" spans="2:5" x14ac:dyDescent="0.25">
      <c r="C34" s="50" t="s">
        <v>17</v>
      </c>
      <c r="D34" s="37" t="s">
        <v>49</v>
      </c>
      <c r="E34" s="51"/>
    </row>
    <row r="35" spans="2:5" x14ac:dyDescent="0.25">
      <c r="B35" s="6"/>
      <c r="C35" s="214"/>
      <c r="D35" s="9" t="s">
        <v>84</v>
      </c>
      <c r="E35" s="203">
        <f>1000*E4</f>
        <v>198770</v>
      </c>
    </row>
    <row r="36" spans="2:5" x14ac:dyDescent="0.25">
      <c r="B36" s="9"/>
      <c r="C36" s="214"/>
      <c r="D36" s="9" t="s">
        <v>51</v>
      </c>
      <c r="E36" s="205">
        <f>1000*E6</f>
        <v>379603.19993310003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Aura Solar</vt:lpstr>
      <vt:lpstr>Villa Ahumada Sin Financiamient</vt:lpstr>
      <vt:lpstr>Villa Ahumada con Financiamient</vt:lpstr>
      <vt:lpstr>Villa Ahumada con Financiam (2)</vt:lpstr>
      <vt:lpstr>Especificaciones proy SLP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</dc:creator>
  <cp:lastModifiedBy>MS</cp:lastModifiedBy>
  <dcterms:created xsi:type="dcterms:W3CDTF">2020-10-25T18:42:33Z</dcterms:created>
  <dcterms:modified xsi:type="dcterms:W3CDTF">2021-02-10T16:54:48Z</dcterms:modified>
</cp:coreProperties>
</file>