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Comentarios 20200623\01 Potencial de mitigacion\Sector Eléctrico\Nueva LB por error en f_p sect elect\"/>
    </mc:Choice>
  </mc:AlternateContent>
  <xr:revisionPtr revIDLastSave="0" documentId="13_ncr:1_{8A8B6F63-999A-4A58-A029-0F9CF647D836}" xr6:coauthVersionLast="45" xr6:coauthVersionMax="45" xr10:uidLastSave="{00000000-0000-0000-0000-000000000000}"/>
  <bookViews>
    <workbookView xWindow="-120" yWindow="-120" windowWidth="20730" windowHeight="11310" tabRatio="723" activeTab="2" xr2:uid="{49FF98F2-C90F-48D7-9520-7F0F58CDC247}"/>
  </bookViews>
  <sheets>
    <sheet name="InvEstatalGEI_Chihuahua13-17" sheetId="1" r:id="rId1"/>
    <sheet name="Tabla Resumen Prioritarias" sheetId="4" r:id="rId2"/>
    <sheet name="Bases de proyeccion 1A1a" sheetId="6" r:id="rId3"/>
    <sheet name="Bases de proyeccion 1A3b" sheetId="8" state="hidden" r:id="rId4"/>
    <sheet name="Bases de proyeccion 3A" sheetId="7" r:id="rId5"/>
    <sheet name="Bases de proyeccion 1A2" sheetId="10" r:id="rId6"/>
    <sheet name="Bases de proyeccion 3C4" sheetId="11" r:id="rId7"/>
    <sheet name="Bases de proyeccion 1A4a y 1A4b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6" l="1"/>
  <c r="H35" i="4" l="1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G35" i="4"/>
  <c r="H34" i="4" l="1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G34" i="4"/>
  <c r="H33" i="4" l="1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G33" i="4"/>
  <c r="H32" i="4" l="1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H30" i="6" l="1"/>
  <c r="I30" i="6"/>
  <c r="J30" i="6"/>
  <c r="K30" i="6"/>
  <c r="L30" i="6"/>
  <c r="N30" i="6"/>
  <c r="O30" i="6"/>
  <c r="P30" i="6"/>
  <c r="Q30" i="6"/>
  <c r="R30" i="6"/>
  <c r="S30" i="6"/>
  <c r="G30" i="6"/>
  <c r="F29" i="6" l="1"/>
  <c r="E29" i="6"/>
  <c r="D29" i="6"/>
  <c r="C29" i="6"/>
  <c r="B29" i="6"/>
  <c r="A51" i="4"/>
  <c r="A52" i="4"/>
  <c r="A53" i="4"/>
  <c r="A54" i="4"/>
  <c r="A55" i="4"/>
  <c r="A56" i="4"/>
  <c r="A57" i="4"/>
  <c r="A58" i="4"/>
  <c r="A50" i="4"/>
  <c r="B38" i="4"/>
  <c r="B29" i="4"/>
  <c r="A30" i="4"/>
  <c r="A31" i="4"/>
  <c r="A32" i="4"/>
  <c r="A33" i="4"/>
  <c r="A34" i="4"/>
  <c r="A35" i="4"/>
  <c r="A36" i="4"/>
  <c r="A42" i="4" s="1"/>
  <c r="A37" i="4"/>
  <c r="A43" i="4" s="1"/>
  <c r="A38" i="4"/>
  <c r="A29" i="4"/>
  <c r="H131" i="1" l="1"/>
  <c r="H130" i="1"/>
  <c r="K87" i="1"/>
  <c r="J87" i="1"/>
  <c r="I87" i="1"/>
  <c r="H87" i="1"/>
  <c r="G87" i="1"/>
  <c r="K84" i="1"/>
  <c r="J84" i="1"/>
  <c r="I84" i="1"/>
  <c r="H84" i="1"/>
  <c r="H79" i="1" s="1"/>
  <c r="G84" i="1"/>
  <c r="G79" i="1" s="1"/>
  <c r="K80" i="1"/>
  <c r="K79" i="1" s="1"/>
  <c r="J80" i="1"/>
  <c r="I80" i="1"/>
  <c r="H80" i="1"/>
  <c r="G80" i="1"/>
  <c r="K70" i="1"/>
  <c r="K69" i="1" s="1"/>
  <c r="J70" i="1"/>
  <c r="J69" i="1" s="1"/>
  <c r="I70" i="1"/>
  <c r="H70" i="1"/>
  <c r="H69" i="1" s="1"/>
  <c r="G70" i="1"/>
  <c r="G69" i="1" s="1"/>
  <c r="I69" i="1"/>
  <c r="K67" i="1"/>
  <c r="J67" i="1"/>
  <c r="I67" i="1"/>
  <c r="H67" i="1"/>
  <c r="G67" i="1"/>
  <c r="K65" i="1"/>
  <c r="J65" i="1"/>
  <c r="I65" i="1"/>
  <c r="H65" i="1"/>
  <c r="G65" i="1"/>
  <c r="K63" i="1"/>
  <c r="J63" i="1"/>
  <c r="I63" i="1"/>
  <c r="H63" i="1"/>
  <c r="G63" i="1"/>
  <c r="K60" i="1"/>
  <c r="J60" i="1"/>
  <c r="I60" i="1"/>
  <c r="H60" i="1"/>
  <c r="G60" i="1"/>
  <c r="K57" i="1"/>
  <c r="J57" i="1"/>
  <c r="I57" i="1"/>
  <c r="H57" i="1"/>
  <c r="G57" i="1"/>
  <c r="K54" i="1"/>
  <c r="J54" i="1"/>
  <c r="I54" i="1"/>
  <c r="I53" i="1" s="1"/>
  <c r="H54" i="1"/>
  <c r="H53" i="1" s="1"/>
  <c r="G54" i="1"/>
  <c r="K46" i="1"/>
  <c r="K45" i="1" s="1"/>
  <c r="J46" i="1"/>
  <c r="J45" i="1" s="1"/>
  <c r="I46" i="1"/>
  <c r="I45" i="1" s="1"/>
  <c r="H46" i="1"/>
  <c r="H45" i="1" s="1"/>
  <c r="G46" i="1"/>
  <c r="G45" i="1" s="1"/>
  <c r="K43" i="1"/>
  <c r="J43" i="1"/>
  <c r="I43" i="1"/>
  <c r="H43" i="1"/>
  <c r="G43" i="1"/>
  <c r="K39" i="1"/>
  <c r="J39" i="1"/>
  <c r="I39" i="1"/>
  <c r="H39" i="1"/>
  <c r="H38" i="1" s="1"/>
  <c r="H37" i="1" s="1"/>
  <c r="G39" i="1"/>
  <c r="I38" i="1"/>
  <c r="I37" i="1" s="1"/>
  <c r="G38" i="1"/>
  <c r="K33" i="1"/>
  <c r="J33" i="1"/>
  <c r="I33" i="1"/>
  <c r="H33" i="1"/>
  <c r="G33" i="1"/>
  <c r="G30" i="1" s="1"/>
  <c r="K31" i="1"/>
  <c r="K30" i="1" s="1"/>
  <c r="J31" i="1"/>
  <c r="J30" i="1" s="1"/>
  <c r="I31" i="1"/>
  <c r="I30" i="1" s="1"/>
  <c r="H31" i="1"/>
  <c r="G31" i="1"/>
  <c r="H30" i="1"/>
  <c r="K28" i="1"/>
  <c r="K27" i="1" s="1"/>
  <c r="J28" i="1"/>
  <c r="J27" i="1" s="1"/>
  <c r="I28" i="1"/>
  <c r="I27" i="1" s="1"/>
  <c r="H28" i="1"/>
  <c r="G28" i="1"/>
  <c r="G27" i="1" s="1"/>
  <c r="H27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K21" i="1" s="1"/>
  <c r="K17" i="1" s="1"/>
  <c r="K16" i="1" s="1"/>
  <c r="J22" i="1"/>
  <c r="I22" i="1"/>
  <c r="H22" i="1"/>
  <c r="G22" i="1"/>
  <c r="K18" i="1"/>
  <c r="J18" i="1"/>
  <c r="I18" i="1"/>
  <c r="H18" i="1"/>
  <c r="G18" i="1"/>
  <c r="J53" i="1" l="1"/>
  <c r="J79" i="1"/>
  <c r="K53" i="1"/>
  <c r="G37" i="1"/>
  <c r="J17" i="1"/>
  <c r="J16" i="1" s="1"/>
  <c r="I21" i="1"/>
  <c r="I17" i="1" s="1"/>
  <c r="I16" i="1" s="1"/>
  <c r="I79" i="1"/>
  <c r="G21" i="1"/>
  <c r="G17" i="1" s="1"/>
  <c r="G16" i="1" s="1"/>
  <c r="J38" i="1"/>
  <c r="J37" i="1" s="1"/>
  <c r="J36" i="1" s="1"/>
  <c r="G53" i="1"/>
  <c r="J21" i="1"/>
  <c r="H21" i="1"/>
  <c r="K38" i="1"/>
  <c r="K37" i="1" s="1"/>
  <c r="K36" i="1" s="1"/>
  <c r="K15" i="1" s="1"/>
  <c r="G36" i="1"/>
  <c r="H17" i="1"/>
  <c r="H16" i="1" s="1"/>
  <c r="H36" i="1"/>
  <c r="I36" i="1"/>
  <c r="L131" i="1" l="1"/>
  <c r="A60" i="4"/>
  <c r="K14" i="9" l="1"/>
  <c r="B24" i="4" l="1"/>
  <c r="B30" i="8" a="1"/>
  <c r="I30" i="8" s="1"/>
  <c r="I30" i="4" s="1"/>
  <c r="B56" i="4" l="1"/>
  <c r="B53" i="4"/>
  <c r="B58" i="4"/>
  <c r="B55" i="4"/>
  <c r="B50" i="4"/>
  <c r="B51" i="4"/>
  <c r="B52" i="4"/>
  <c r="B54" i="4"/>
  <c r="B57" i="4"/>
  <c r="P30" i="8"/>
  <c r="P30" i="4" s="1"/>
  <c r="H30" i="8"/>
  <c r="H30" i="4" s="1"/>
  <c r="R30" i="8"/>
  <c r="R30" i="4" s="1"/>
  <c r="G30" i="8"/>
  <c r="G30" i="4" s="1"/>
  <c r="F30" i="8"/>
  <c r="E30" i="8"/>
  <c r="T30" i="8"/>
  <c r="T30" i="4" s="1"/>
  <c r="L30" i="8"/>
  <c r="L30" i="4" s="1"/>
  <c r="D30" i="8"/>
  <c r="J30" i="8"/>
  <c r="J30" i="4" s="1"/>
  <c r="Q30" i="8"/>
  <c r="Q30" i="4" s="1"/>
  <c r="O30" i="8"/>
  <c r="O30" i="4" s="1"/>
  <c r="N30" i="8"/>
  <c r="N30" i="4" s="1"/>
  <c r="U30" i="8"/>
  <c r="U30" i="4" s="1"/>
  <c r="M30" i="8"/>
  <c r="M30" i="4" s="1"/>
  <c r="S30" i="8"/>
  <c r="S30" i="4" s="1"/>
  <c r="K30" i="8"/>
  <c r="K30" i="4" s="1"/>
  <c r="C30" i="8"/>
  <c r="B30" i="8"/>
  <c r="G121" i="4" l="1"/>
  <c r="H119" i="4" l="1"/>
  <c r="I119" i="4" s="1"/>
  <c r="H118" i="4"/>
  <c r="I118" i="4" s="1"/>
  <c r="H117" i="4"/>
  <c r="I117" i="4" s="1"/>
  <c r="H120" i="4"/>
  <c r="I120" i="4" s="1"/>
  <c r="C41" i="7"/>
  <c r="E41" i="7" s="1"/>
  <c r="C42" i="7"/>
  <c r="E42" i="7" s="1"/>
  <c r="C43" i="7"/>
  <c r="D43" i="7" s="1"/>
  <c r="C44" i="7"/>
  <c r="E44" i="7" s="1"/>
  <c r="C45" i="7"/>
  <c r="E45" i="7" s="1"/>
  <c r="C46" i="7"/>
  <c r="E46" i="7" s="1"/>
  <c r="C47" i="7"/>
  <c r="E47" i="7" s="1"/>
  <c r="C48" i="7"/>
  <c r="D48" i="7" s="1"/>
  <c r="C49" i="7"/>
  <c r="E49" i="7" s="1"/>
  <c r="C50" i="7"/>
  <c r="D50" i="7" s="1"/>
  <c r="G32" i="7" s="1" a="1"/>
  <c r="G32" i="7" s="1"/>
  <c r="G32" i="4" s="1"/>
  <c r="C51" i="7"/>
  <c r="D51" i="7" s="1"/>
  <c r="C52" i="7"/>
  <c r="E52" i="7" s="1"/>
  <c r="C53" i="7"/>
  <c r="E53" i="7" s="1"/>
  <c r="C54" i="7"/>
  <c r="E54" i="7" s="1"/>
  <c r="C55" i="7"/>
  <c r="E55" i="7" s="1"/>
  <c r="C56" i="7"/>
  <c r="D56" i="7" s="1"/>
  <c r="C57" i="7"/>
  <c r="E57" i="7" s="1"/>
  <c r="C58" i="7"/>
  <c r="E58" i="7" s="1"/>
  <c r="C59" i="7"/>
  <c r="D59" i="7" s="1"/>
  <c r="C60" i="7"/>
  <c r="D60" i="7" s="1"/>
  <c r="C61" i="7"/>
  <c r="E61" i="7" s="1"/>
  <c r="C62" i="7"/>
  <c r="E62" i="7" s="1"/>
  <c r="C63" i="7"/>
  <c r="D63" i="7" s="1"/>
  <c r="C64" i="7"/>
  <c r="D64" i="7" s="1"/>
  <c r="C40" i="7"/>
  <c r="E40" i="7" s="1"/>
  <c r="A32" i="7"/>
  <c r="A31" i="7"/>
  <c r="D52" i="7" l="1"/>
  <c r="D47" i="7"/>
  <c r="E48" i="7"/>
  <c r="D44" i="7"/>
  <c r="E64" i="7"/>
  <c r="E63" i="7"/>
  <c r="E60" i="7"/>
  <c r="E56" i="7"/>
  <c r="D55" i="7"/>
  <c r="D58" i="7"/>
  <c r="D42" i="7"/>
  <c r="E51" i="7"/>
  <c r="D40" i="7"/>
  <c r="D57" i="7"/>
  <c r="D49" i="7"/>
  <c r="D41" i="7"/>
  <c r="E50" i="7"/>
  <c r="G31" i="7" s="1" a="1"/>
  <c r="G31" i="7" s="1"/>
  <c r="G31" i="4" s="1"/>
  <c r="E59" i="7"/>
  <c r="E43" i="7"/>
  <c r="D62" i="7"/>
  <c r="D54" i="7"/>
  <c r="D46" i="7"/>
  <c r="D61" i="7"/>
  <c r="D53" i="7"/>
  <c r="D45" i="7"/>
  <c r="M31" i="7" l="1"/>
  <c r="M31" i="4" s="1"/>
  <c r="Q31" i="7"/>
  <c r="Q31" i="4" s="1"/>
  <c r="N31" i="7"/>
  <c r="N31" i="4" s="1"/>
  <c r="I31" i="7"/>
  <c r="I31" i="4" s="1"/>
  <c r="T31" i="7"/>
  <c r="T31" i="4" s="1"/>
  <c r="J31" i="7"/>
  <c r="J31" i="4" s="1"/>
  <c r="R31" i="7"/>
  <c r="R31" i="4" s="1"/>
  <c r="O31" i="7"/>
  <c r="O31" i="4" s="1"/>
  <c r="H31" i="7"/>
  <c r="H31" i="4" s="1"/>
  <c r="S31" i="7"/>
  <c r="S31" i="4" s="1"/>
  <c r="P31" i="7"/>
  <c r="P31" i="4" s="1"/>
  <c r="U31" i="7"/>
  <c r="U31" i="4" s="1"/>
  <c r="L31" i="7"/>
  <c r="L31" i="4" s="1"/>
  <c r="K31" i="7"/>
  <c r="K31" i="4" s="1"/>
  <c r="B30" i="4" l="1"/>
  <c r="C30" i="4"/>
  <c r="D30" i="4"/>
  <c r="E30" i="4"/>
  <c r="F30" i="4"/>
  <c r="G29" i="6" s="1"/>
  <c r="G29" i="4" s="1"/>
  <c r="B31" i="4"/>
  <c r="B31" i="7" s="1"/>
  <c r="C31" i="4"/>
  <c r="C31" i="7" s="1"/>
  <c r="D31" i="4"/>
  <c r="D31" i="7" s="1"/>
  <c r="E31" i="4"/>
  <c r="E31" i="7" s="1"/>
  <c r="F31" i="4"/>
  <c r="F31" i="7" s="1"/>
  <c r="B32" i="4"/>
  <c r="B32" i="7" s="1"/>
  <c r="C32" i="4"/>
  <c r="C32" i="7" s="1"/>
  <c r="D32" i="4"/>
  <c r="D32" i="7" s="1"/>
  <c r="E32" i="4"/>
  <c r="E32" i="7" s="1"/>
  <c r="F32" i="4"/>
  <c r="F32" i="7" s="1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B42" i="4" s="1"/>
  <c r="C36" i="4"/>
  <c r="D36" i="4"/>
  <c r="E36" i="4"/>
  <c r="F36" i="4"/>
  <c r="B37" i="4"/>
  <c r="C37" i="4"/>
  <c r="D37" i="4"/>
  <c r="E37" i="4"/>
  <c r="F37" i="4"/>
  <c r="C29" i="4"/>
  <c r="D29" i="4"/>
  <c r="E29" i="4"/>
  <c r="F29" i="4"/>
  <c r="C43" i="4" l="1"/>
  <c r="B43" i="4"/>
  <c r="D43" i="4"/>
  <c r="D42" i="4"/>
  <c r="C42" i="4"/>
  <c r="G36" i="4" s="1"/>
  <c r="D38" i="4"/>
  <c r="D24" i="4"/>
  <c r="E38" i="4"/>
  <c r="E24" i="4"/>
  <c r="C38" i="4"/>
  <c r="C24" i="4"/>
  <c r="F38" i="4"/>
  <c r="F24" i="4"/>
  <c r="H29" i="6"/>
  <c r="H29" i="4" s="1"/>
  <c r="B39" i="4"/>
  <c r="G138" i="1" s="1"/>
  <c r="E39" i="4"/>
  <c r="J138" i="1" s="1"/>
  <c r="D39" i="4"/>
  <c r="I138" i="1" s="1"/>
  <c r="M38" i="4" l="1"/>
  <c r="P36" i="4"/>
  <c r="J36" i="4"/>
  <c r="C39" i="4"/>
  <c r="H138" i="1" s="1"/>
  <c r="U36" i="4"/>
  <c r="R36" i="4"/>
  <c r="H36" i="4"/>
  <c r="O36" i="4"/>
  <c r="T36" i="4"/>
  <c r="N36" i="4"/>
  <c r="S36" i="4"/>
  <c r="M36" i="4"/>
  <c r="Q36" i="4"/>
  <c r="L36" i="4"/>
  <c r="I36" i="4"/>
  <c r="G37" i="4"/>
  <c r="O37" i="4"/>
  <c r="Q37" i="4"/>
  <c r="H37" i="4"/>
  <c r="S37" i="4"/>
  <c r="J37" i="4"/>
  <c r="P37" i="4"/>
  <c r="I37" i="4"/>
  <c r="R37" i="4"/>
  <c r="K37" i="4"/>
  <c r="L37" i="4"/>
  <c r="T37" i="4"/>
  <c r="M37" i="4"/>
  <c r="U37" i="4"/>
  <c r="N37" i="4"/>
  <c r="K36" i="4"/>
  <c r="U38" i="4"/>
  <c r="R38" i="4"/>
  <c r="D44" i="4"/>
  <c r="C44" i="4"/>
  <c r="B44" i="4"/>
  <c r="L38" i="4"/>
  <c r="K38" i="4"/>
  <c r="Q38" i="4"/>
  <c r="F39" i="4"/>
  <c r="K138" i="1" s="1"/>
  <c r="G38" i="4"/>
  <c r="H38" i="4"/>
  <c r="N38" i="4"/>
  <c r="I38" i="4"/>
  <c r="J38" i="4"/>
  <c r="T38" i="4"/>
  <c r="O38" i="4"/>
  <c r="F52" i="4"/>
  <c r="F57" i="4"/>
  <c r="F55" i="4"/>
  <c r="F54" i="4"/>
  <c r="F50" i="4"/>
  <c r="F51" i="4"/>
  <c r="F58" i="4"/>
  <c r="F56" i="4"/>
  <c r="F53" i="4"/>
  <c r="S38" i="4"/>
  <c r="P38" i="4"/>
  <c r="C50" i="4"/>
  <c r="C51" i="4"/>
  <c r="C56" i="4"/>
  <c r="C57" i="4"/>
  <c r="C53" i="4"/>
  <c r="C54" i="4"/>
  <c r="C58" i="4"/>
  <c r="C55" i="4"/>
  <c r="C52" i="4"/>
  <c r="E57" i="4"/>
  <c r="E52" i="4"/>
  <c r="E54" i="4"/>
  <c r="E50" i="4"/>
  <c r="E51" i="4"/>
  <c r="E55" i="4"/>
  <c r="E56" i="4"/>
  <c r="E53" i="4"/>
  <c r="E58" i="4"/>
  <c r="D54" i="4"/>
  <c r="D50" i="4"/>
  <c r="D51" i="4"/>
  <c r="D56" i="4"/>
  <c r="D53" i="4"/>
  <c r="D52" i="4"/>
  <c r="D58" i="4"/>
  <c r="D57" i="4"/>
  <c r="D55" i="4"/>
  <c r="I29" i="6"/>
  <c r="I29" i="4" s="1"/>
  <c r="G39" i="4" l="1"/>
  <c r="L138" i="1" s="1"/>
  <c r="H39" i="4"/>
  <c r="M138" i="1" s="1"/>
  <c r="I39" i="4"/>
  <c r="N138" i="1" s="1"/>
  <c r="J29" i="6"/>
  <c r="J29" i="4" s="1"/>
  <c r="K29" i="6" l="1"/>
  <c r="K29" i="4" s="1"/>
  <c r="J39" i="4"/>
  <c r="O138" i="1" s="1"/>
  <c r="B59" i="4"/>
  <c r="C59" i="4"/>
  <c r="E59" i="4"/>
  <c r="F59" i="4"/>
  <c r="G149" i="1"/>
  <c r="H149" i="1"/>
  <c r="I149" i="1"/>
  <c r="J149" i="1"/>
  <c r="K149" i="1"/>
  <c r="G150" i="1"/>
  <c r="H150" i="1"/>
  <c r="I150" i="1"/>
  <c r="J150" i="1"/>
  <c r="K150" i="1"/>
  <c r="H148" i="1"/>
  <c r="I148" i="1"/>
  <c r="J148" i="1"/>
  <c r="K148" i="1"/>
  <c r="G148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G130" i="1"/>
  <c r="H151" i="1" l="1"/>
  <c r="G151" i="1"/>
  <c r="J151" i="1"/>
  <c r="L29" i="6"/>
  <c r="L29" i="4" s="1"/>
  <c r="K39" i="4"/>
  <c r="P138" i="1" s="1"/>
  <c r="K151" i="1"/>
  <c r="I151" i="1"/>
  <c r="D59" i="4"/>
  <c r="I131" i="1"/>
  <c r="J131" i="1"/>
  <c r="K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G131" i="1"/>
  <c r="L151" i="1" l="1"/>
  <c r="M151" i="1" s="1"/>
  <c r="N151" i="1" s="1"/>
  <c r="M29" i="6"/>
  <c r="M29" i="4" s="1"/>
  <c r="L39" i="4"/>
  <c r="Q138" i="1" s="1"/>
  <c r="N29" i="6" l="1"/>
  <c r="N29" i="4" s="1"/>
  <c r="M39" i="4"/>
  <c r="R138" i="1" s="1"/>
  <c r="I15" i="1" l="1"/>
  <c r="O29" i="6"/>
  <c r="O29" i="4" s="1"/>
  <c r="N39" i="4"/>
  <c r="S138" i="1" s="1"/>
  <c r="H15" i="1"/>
  <c r="I90" i="1"/>
  <c r="G14" i="1"/>
  <c r="G90" i="1"/>
  <c r="J15" i="1"/>
  <c r="H14" i="1"/>
  <c r="H90" i="1"/>
  <c r="G15" i="1"/>
  <c r="I14" i="1"/>
  <c r="K14" i="1"/>
  <c r="K90" i="1"/>
  <c r="J14" i="1"/>
  <c r="J90" i="1"/>
  <c r="G91" i="1" l="1"/>
  <c r="G97" i="1"/>
  <c r="G98" i="1" s="1"/>
  <c r="I91" i="1"/>
  <c r="I97" i="1"/>
  <c r="I98" i="1" s="1"/>
  <c r="J91" i="1"/>
  <c r="J97" i="1"/>
  <c r="J98" i="1" s="1"/>
  <c r="K91" i="1"/>
  <c r="K97" i="1"/>
  <c r="H91" i="1"/>
  <c r="H97" i="1"/>
  <c r="H98" i="1" s="1"/>
  <c r="P29" i="6"/>
  <c r="P29" i="4" s="1"/>
  <c r="O39" i="4"/>
  <c r="T138" i="1" s="1"/>
  <c r="O151" i="1"/>
  <c r="L94" i="1" l="1"/>
  <c r="J94" i="1"/>
  <c r="K98" i="1"/>
  <c r="L93" i="1"/>
  <c r="L97" i="1" s="1"/>
  <c r="M97" i="1" s="1"/>
  <c r="N97" i="1" s="1"/>
  <c r="O97" i="1" s="1"/>
  <c r="P97" i="1" s="1"/>
  <c r="Q97" i="1" s="1"/>
  <c r="R97" i="1" s="1"/>
  <c r="S97" i="1" s="1"/>
  <c r="T97" i="1" s="1"/>
  <c r="U97" i="1" s="1"/>
  <c r="V97" i="1" s="1"/>
  <c r="W97" i="1" s="1"/>
  <c r="X97" i="1" s="1"/>
  <c r="Y97" i="1" s="1"/>
  <c r="Z97" i="1" s="1"/>
  <c r="P39" i="4"/>
  <c r="U138" i="1" s="1"/>
  <c r="Q29" i="6"/>
  <c r="Q29" i="4" s="1"/>
  <c r="P151" i="1"/>
  <c r="Q151" i="1" s="1"/>
  <c r="M98" i="1" l="1"/>
  <c r="M99" i="1" s="1"/>
  <c r="W98" i="1"/>
  <c r="W99" i="1" s="1"/>
  <c r="T98" i="1"/>
  <c r="T99" i="1" s="1"/>
  <c r="O98" i="1"/>
  <c r="O99" i="1" s="1"/>
  <c r="L98" i="1"/>
  <c r="L99" i="1" s="1"/>
  <c r="N98" i="1"/>
  <c r="N99" i="1" s="1"/>
  <c r="S98" i="1"/>
  <c r="S99" i="1" s="1"/>
  <c r="R98" i="1"/>
  <c r="R99" i="1" s="1"/>
  <c r="Z98" i="1"/>
  <c r="Z99" i="1" s="1"/>
  <c r="V98" i="1"/>
  <c r="V99" i="1" s="1"/>
  <c r="Q98" i="1"/>
  <c r="Q99" i="1" s="1"/>
  <c r="X98" i="1"/>
  <c r="X99" i="1" s="1"/>
  <c r="P98" i="1"/>
  <c r="P99" i="1" s="1"/>
  <c r="Y98" i="1"/>
  <c r="Y99" i="1" s="1"/>
  <c r="U98" i="1"/>
  <c r="U99" i="1" s="1"/>
  <c r="Q39" i="4"/>
  <c r="V138" i="1" s="1"/>
  <c r="R29" i="6"/>
  <c r="R29" i="4" s="1"/>
  <c r="S29" i="6" l="1"/>
  <c r="S29" i="4" s="1"/>
  <c r="R39" i="4"/>
  <c r="W138" i="1" s="1"/>
  <c r="R151" i="1"/>
  <c r="T29" i="6" l="1"/>
  <c r="T29" i="4" s="1"/>
  <c r="S39" i="4"/>
  <c r="X138" i="1" s="1"/>
  <c r="S151" i="1"/>
  <c r="U29" i="6" l="1"/>
  <c r="T39" i="4"/>
  <c r="Y138" i="1" s="1"/>
  <c r="T151" i="1"/>
  <c r="U29" i="4" l="1"/>
  <c r="U39" i="4" s="1"/>
  <c r="Z138" i="1" s="1"/>
  <c r="U151" i="1"/>
  <c r="V151" i="1" l="1"/>
  <c r="W151" i="1" l="1"/>
  <c r="X151" i="1" l="1"/>
  <c r="Y151" i="1" l="1"/>
  <c r="Z151" i="1" l="1"/>
</calcChain>
</file>

<file path=xl/sharedStrings.xml><?xml version="1.0" encoding="utf-8"?>
<sst xmlns="http://schemas.openxmlformats.org/spreadsheetml/2006/main" count="342" uniqueCount="244">
  <si>
    <t>Alianza Sustentable</t>
  </si>
  <si>
    <t>ELABORACIÓN DEL INVENTARIO ESTATAL DE EMISIONES DE GASES DE EFECTO INVERNADERO DEL ESTADO DE CHIHUAHUA 2013 - 2017</t>
  </si>
  <si>
    <t>Elabora: Roberto Daniel Sosa Granados</t>
  </si>
  <si>
    <t>Nombre del cliente: Universidad de Chihuahua</t>
  </si>
  <si>
    <t>Registro: 2018Con0010_IEGyCEICh</t>
  </si>
  <si>
    <t>Fecha: 17 de diciembre de 2018</t>
  </si>
  <si>
    <t>Derechos reservados sobre la base de cálculo, prohibido su uso para fines ajenos al alcance del presente proyecto, o para su comercialización como herramienta de cálculo</t>
  </si>
  <si>
    <r>
      <t>EMISIONES ESTATALES TOTALES 2013 - 2017 (GgCO</t>
    </r>
    <r>
      <rPr>
        <b/>
        <vertAlign val="subscript"/>
        <sz val="12"/>
        <color theme="1" tint="0.249977111117893"/>
        <rFont val="Calibri"/>
        <family val="2"/>
        <scheme val="minor"/>
      </rPr>
      <t>2</t>
    </r>
    <r>
      <rPr>
        <b/>
        <sz val="12"/>
        <color theme="1" tint="0.249977111117893"/>
        <rFont val="Calibri"/>
        <family val="2"/>
        <scheme val="minor"/>
      </rPr>
      <t>e): CHIHUAHUA</t>
    </r>
  </si>
  <si>
    <t>Con base en las Directrices del IPCC de 2006 para los inventarios nacionales de gases de efecto invernadero</t>
  </si>
  <si>
    <t>SECTOR/CATEGORÍA/FUENTE/SUBFUENTE DE EMISIÓN</t>
  </si>
  <si>
    <r>
      <t>EMISIONES BRUTAS ESTATALES (Gg de 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e): NO INCLUYE 3B TIERRA</t>
    </r>
  </si>
  <si>
    <r>
      <t>EMISIONES NETAS ESTATALES (GgCO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</t>
    </r>
  </si>
  <si>
    <t>1 Energía</t>
  </si>
  <si>
    <t>1A Actividades de quema del combustible</t>
  </si>
  <si>
    <t>1A1 Industrias de la energía</t>
  </si>
  <si>
    <t>1A1a Actividad principal producción de electricidad y calor</t>
  </si>
  <si>
    <t>1A2 Industrias manufactura y de la construcción</t>
  </si>
  <si>
    <t>1A3 Transporte</t>
  </si>
  <si>
    <t>1A3a Aviación civil</t>
  </si>
  <si>
    <t>1A3b Autotransporte</t>
  </si>
  <si>
    <t>1A3c Ferrocarriles</t>
  </si>
  <si>
    <t>1A4 Otros sectores</t>
  </si>
  <si>
    <t>1A4a y 1A4b Residencial/Comercial/institucional</t>
  </si>
  <si>
    <t>1B Emisiones fugitivas provenientes de la fabricación de combustibles</t>
  </si>
  <si>
    <t>1B2 Petróleo y gas natural</t>
  </si>
  <si>
    <t>1B2b Gas natural (Transporte y Distribución)</t>
  </si>
  <si>
    <t>2 Procesos industriales</t>
  </si>
  <si>
    <t>2A Industria de los minerales</t>
  </si>
  <si>
    <t>2A1 Producción de cemento</t>
  </si>
  <si>
    <t>2C Industria de los metales</t>
  </si>
  <si>
    <t>2C5 Producción de plomo</t>
  </si>
  <si>
    <t>2C6 Producción de zinc</t>
  </si>
  <si>
    <t>3 Agricultura, silvicultura y otros usos de la tierra</t>
  </si>
  <si>
    <t xml:space="preserve">  3A Ganado</t>
  </si>
  <si>
    <t xml:space="preserve">     3A1 Fermentación entérica</t>
  </si>
  <si>
    <t xml:space="preserve">          3A1a Bovino</t>
  </si>
  <si>
    <t xml:space="preserve">             3A1c Ovinos</t>
  </si>
  <si>
    <t xml:space="preserve">          3A1d Caprino</t>
  </si>
  <si>
    <t xml:space="preserve">          3A1f Caballos</t>
  </si>
  <si>
    <t xml:space="preserve">          3A1g Mulas y asnos</t>
  </si>
  <si>
    <t xml:space="preserve">          3A1h Porcinos</t>
  </si>
  <si>
    <t xml:space="preserve">     3A2 Gestión del estiércol</t>
  </si>
  <si>
    <t xml:space="preserve">          3A2a Bovinos</t>
  </si>
  <si>
    <t xml:space="preserve">             3A2c Ovinos</t>
  </si>
  <si>
    <t xml:space="preserve">          3A2d Caprino</t>
  </si>
  <si>
    <t xml:space="preserve">          3A2f Caballos</t>
  </si>
  <si>
    <t xml:space="preserve">          3A2g Mulas y asnos</t>
  </si>
  <si>
    <t xml:space="preserve">          3A2h Porcinos</t>
  </si>
  <si>
    <t xml:space="preserve">          3A2i aves de corral</t>
  </si>
  <si>
    <t xml:space="preserve">  3B Tierra</t>
  </si>
  <si>
    <t xml:space="preserve">     3B1 Tierra forestales</t>
  </si>
  <si>
    <t xml:space="preserve">          3B1a Tierras forestales que permanecen como tal</t>
  </si>
  <si>
    <t xml:space="preserve">          3B1b Tierras convertidas a tierras forestales</t>
  </si>
  <si>
    <t xml:space="preserve">     3B2 Tierra de cultivo</t>
  </si>
  <si>
    <t xml:space="preserve">          3B2a Tierras de cultivo que permanecen como tal</t>
  </si>
  <si>
    <t xml:space="preserve">          3B2b Tierras convertidas a tierras de cultivo</t>
  </si>
  <si>
    <t xml:space="preserve">     3B3 Praderas</t>
  </si>
  <si>
    <t xml:space="preserve">          3B3a Praderas que permanecen como tal</t>
  </si>
  <si>
    <t xml:space="preserve">          3B3b Tierras convertidas en praderas</t>
  </si>
  <si>
    <t xml:space="preserve">     3B4 Humedales</t>
  </si>
  <si>
    <t xml:space="preserve">          3B4b Tierras convertidas en humedales</t>
  </si>
  <si>
    <t xml:space="preserve">     3B5 Asentamientos </t>
  </si>
  <si>
    <t xml:space="preserve">          3B5b Tierras convertidas en asentamientos</t>
  </si>
  <si>
    <t xml:space="preserve">     3B6 Otras tierras </t>
  </si>
  <si>
    <t xml:space="preserve">          3B6b Tierras convertidas en otras tierras</t>
  </si>
  <si>
    <t xml:space="preserve">  3C Fuentes agregadas y fuentes de emisión no CO2 de la tierra</t>
  </si>
  <si>
    <t xml:space="preserve">     3C1 Emisiones de GEI por quemado de biomasa</t>
  </si>
  <si>
    <t xml:space="preserve">          3C1a Emisiones de quemado de biomasa en tierras forestales</t>
  </si>
  <si>
    <t xml:space="preserve">          3C1b Emisiones de quemado de biomasa en tierras de cultivo</t>
  </si>
  <si>
    <t xml:space="preserve">          3C1c Emisiones de quemado de biomasa en tierras praderas</t>
  </si>
  <si>
    <t xml:space="preserve">     3C2 Encalado</t>
  </si>
  <si>
    <t xml:space="preserve">     3C3 Aplicación de urea</t>
  </si>
  <si>
    <t xml:space="preserve">     3C4 Emisiones directas de los N2O de los suelos gestionados</t>
  </si>
  <si>
    <t xml:space="preserve">     3C5 Emisiones indirectas de los N2O de los suelos gestionados</t>
  </si>
  <si>
    <t xml:space="preserve">     3C6 Emisiones indirectas de los N2O de la gestión del estiércol</t>
  </si>
  <si>
    <t>4 Residuos</t>
  </si>
  <si>
    <t>4A Eliminación de residuos sólidos</t>
  </si>
  <si>
    <t>4A1 Sitios gestionados de eliminación de residuos (rellenos sanitarios)</t>
  </si>
  <si>
    <t xml:space="preserve">4A2 Sitios no controlados de eliminación de residuos </t>
  </si>
  <si>
    <t>4B Tratamiento biológico de los residuos sólidos</t>
  </si>
  <si>
    <t>4C Incineración y quema a cielo abierto  de residuos</t>
  </si>
  <si>
    <t>4C1 Incineración de residuos peligrosos industriales y biológico infeccioso</t>
  </si>
  <si>
    <t>4C2 Quema a cielo abierto de residuos sólidos</t>
  </si>
  <si>
    <t>4D Tratamiento y eliminación de aguas residuales</t>
  </si>
  <si>
    <t>4D1 Tratamiento y eliminación de aguas residuales domésticas</t>
  </si>
  <si>
    <t>4D2 Tratamiento y eliminación de aguas residuales industriales</t>
  </si>
  <si>
    <t>Emisiones brutas estatales (no incluye 3B Tierra)</t>
  </si>
  <si>
    <t>Línea base nacional (2018)</t>
  </si>
  <si>
    <t>Tomado de:</t>
  </si>
  <si>
    <t>Hoja:</t>
  </si>
  <si>
    <t>Comparación LB 5a CN vs 6a CN</t>
  </si>
  <si>
    <t>Celdas:</t>
  </si>
  <si>
    <t>Libro:</t>
  </si>
  <si>
    <t>Comp_LB_5aCN_6aCN.xlsx</t>
  </si>
  <si>
    <t>Ruta:</t>
  </si>
  <si>
    <t>G:\PROJECTS\INECC\Desarrollo del SGC\00 Procedimientos y Formatos\From DSG\3_Fichas_INDC´s\LB_Nacional\Finales\Final_Definitiva</t>
  </si>
  <si>
    <t>Generación eléctrica</t>
  </si>
  <si>
    <t>Emisiones brutas</t>
  </si>
  <si>
    <t>=</t>
  </si>
  <si>
    <t>AD259:AU259</t>
  </si>
  <si>
    <t>AC173:AT173</t>
  </si>
  <si>
    <r>
      <t>Gg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</t>
    </r>
  </si>
  <si>
    <r>
      <t>Mton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</t>
    </r>
  </si>
  <si>
    <t>Combustible</t>
  </si>
  <si>
    <t>Unidades</t>
  </si>
  <si>
    <t>2014</t>
  </si>
  <si>
    <t>2015</t>
  </si>
  <si>
    <t>2016</t>
  </si>
  <si>
    <t>2017</t>
  </si>
  <si>
    <t>Gas natural</t>
  </si>
  <si>
    <t>Diésel</t>
  </si>
  <si>
    <t>Combustóleo</t>
  </si>
  <si>
    <t>Tabla 9: Emisiones totales en CO2e:</t>
  </si>
  <si>
    <t>ton CO2e</t>
  </si>
  <si>
    <t>Funte:</t>
  </si>
  <si>
    <t>Inventario de emisiones de GEI de Chih. DSG. Sector1A1a_GenEnerElec_Ch13-17.xls</t>
  </si>
  <si>
    <t>Adiciones o retiros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</si>
  <si>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</si>
  <si>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</si>
  <si>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</si>
  <si>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</si>
  <si>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</si>
  <si>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</si>
  <si>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</si>
  <si>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</si>
  <si>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</si>
  <si>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</si>
  <si>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</si>
  <si>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</si>
  <si>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</si>
  <si>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</si>
  <si>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</si>
  <si>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Emisiones del sector de generación eléctrica</t>
  </si>
  <si>
    <t>Línea Base Nacional - Sector: Generación eléctrica</t>
  </si>
  <si>
    <t>FUENTE/SUBFUENTE DE EMISIÓN</t>
  </si>
  <si>
    <t>1A1a Actividad principal producción de electricidad</t>
  </si>
  <si>
    <t>3A1a Fermentación entérica - Bovinos</t>
  </si>
  <si>
    <t>3A2a Gestión del estiércol - Bovinos</t>
  </si>
  <si>
    <t>3B2b Tierras convertidas a tierras de cultivo</t>
  </si>
  <si>
    <t>Emisiones brutas estatales (no incluye 3B tierra)</t>
  </si>
  <si>
    <t>Contribución de estas fuentes</t>
  </si>
  <si>
    <t>1A3b Autotransporte Gasolina y Diesel</t>
  </si>
  <si>
    <t>3C4 Emisiones directas de N2O de suelos gestionados</t>
  </si>
  <si>
    <t>Las emisiones del sector de energía eléctrica estan determinadas por el PRODESEN, que es de competencia federal, por lo que el Estado tendrá limitada influencia en reducirlas.</t>
  </si>
  <si>
    <t>Tomando en cuenta los planes de retiro y adición de centrales eléctricas del PRODESEN, las emisiones del sector de generación de energía eléctrica no seguiran la tendencia a la baja que se observó del 2013 al 2017.</t>
  </si>
  <si>
    <t>Todas las otras fuentes excepto 3B Tierra</t>
  </si>
  <si>
    <t>Sigue creciendo con la misma tasa media de crecimiento anual que de 2013 a 2017</t>
  </si>
  <si>
    <t>Sigue los planes de retiro y adición de plantas de generación del programa de desarrollo del sistema electrico nacional</t>
  </si>
  <si>
    <t>Base de las proyecciones</t>
  </si>
  <si>
    <t>Linea base para el estado de Chihuahua</t>
  </si>
  <si>
    <t>3A2a Bovinos</t>
  </si>
  <si>
    <t>3A1a Bovino</t>
  </si>
  <si>
    <t>3C4 Emisiones directas de los N2O de los suelos gestionados</t>
  </si>
  <si>
    <t>Fuente / subfuente de emisión</t>
  </si>
  <si>
    <t>Resto de las fuentes (sin incluir la categoría 3B tierra)</t>
  </si>
  <si>
    <t>Adición o suspensión de emisiones por instalación o retiro de centrales</t>
  </si>
  <si>
    <t>Año</t>
  </si>
  <si>
    <r>
      <t>Emisiones del sector de generación de electricidad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</si>
  <si>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Emisiones estimadas</t>
  </si>
  <si>
    <t>Inventario estatal de emisiones de Chihuahua</t>
  </si>
  <si>
    <t>Linea base estatal</t>
  </si>
  <si>
    <r>
      <t>Emisiones de ganadería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</si>
  <si>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Población</t>
  </si>
  <si>
    <t>3A1a Fermentación entérica</t>
  </si>
  <si>
    <t>3A2a Gestión del estiércol</t>
  </si>
  <si>
    <t>cabezas de ganado</t>
  </si>
  <si>
    <r>
      <t>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</t>
    </r>
  </si>
  <si>
    <t>Fuente: Z2:AC30 hoja: "Analisis y proyección" Libro: "ChihuahuaInVF.xlsx" Ruta: G:\PROJECTS\PECC Chih</t>
  </si>
  <si>
    <t>r =</t>
  </si>
  <si>
    <r>
      <t>y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</si>
  <si>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r>
      <t>p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</si>
  <si>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t>Factor global de emsiones [1]</t>
  </si>
  <si>
    <t>[1] Ver Figura 4</t>
  </si>
  <si>
    <t>[1] Fuente original: B2:I44 hoja: "Analisis y proyección" Libro: "ChihuahuaInVF.xlsx" Ruta: G:\PROJECTS\PECC Chih</t>
  </si>
  <si>
    <t>glp</t>
  </si>
  <si>
    <t>PJ</t>
  </si>
  <si>
    <t>gasolina</t>
  </si>
  <si>
    <t>diesel</t>
  </si>
  <si>
    <t>gn</t>
  </si>
  <si>
    <t>unidades</t>
  </si>
  <si>
    <t>PIB [1] [3]</t>
  </si>
  <si>
    <t>1A3b [4]</t>
  </si>
  <si>
    <t>[1] A42:S46 hoja: "Producto interno bruto" Libro: "Correlaciones.xlsx" Ruta: G:\PROJECTS\PECC Chih</t>
  </si>
  <si>
    <t>[2] E9:E29 hoja: "Poblacion Chih" Libro: "Correlaciones.xlsx" Ruta: G:\PROJECTS\PECC Chih</t>
  </si>
  <si>
    <t>[3] Calculados con la correlación entre PIB del sector transporte de Chihuahua y el año del 2010 al 2017</t>
  </si>
  <si>
    <t>[4] Calculados con la ecuación de regresión lineal múltiple cuyos coeficientes se indican en las celdas K19:L22</t>
  </si>
  <si>
    <t xml:space="preserve">Fuente de origen: hoja: Proyeccion 1A3b, Libro: "Regresion Multiple Autotransporte PIB Poblacion.xlsx" </t>
  </si>
  <si>
    <t>Población [5]</t>
  </si>
  <si>
    <t>Fuente: Celdas: A34:D54 Hoja: Proyeccion 1A3b (2). Libro: Regresion Multiple Autotransporte PIB Poblacion.xlsx. Ruta: G:\PROJECTS\PECC Chih</t>
  </si>
  <si>
    <r>
      <t>Calculo de la línea base (Gg CO</t>
    </r>
    <r>
      <rPr>
        <b/>
        <vertAlign val="sub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e)</t>
    </r>
  </si>
  <si>
    <t>1A4 Residencial y Comercial</t>
  </si>
  <si>
    <t>Valores calculados en:</t>
  </si>
  <si>
    <t>CHIHUAHUA</t>
  </si>
  <si>
    <t>SECTOR 1A2: INDUSTRIAS DE LA MANUFACTURA Y DE LA CONSTRUCCIÓN</t>
  </si>
  <si>
    <r>
      <t>GgCO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</t>
    </r>
  </si>
  <si>
    <t>Archivo:</t>
  </si>
  <si>
    <t>1A2 Ind Manuf y Const</t>
  </si>
  <si>
    <t>Fuente:</t>
  </si>
  <si>
    <t>SECTOR 3C4: AGRICULTURA, SILVICULTURA Y OTROS USOS DE LA TIERRA</t>
  </si>
  <si>
    <t>M:\PROJECTS\PECC Chih\Entregable_InvEstGEI_Ch13-17\Manufactura</t>
  </si>
  <si>
    <t>3C4 Análisis (version 1)b.xlsx</t>
  </si>
  <si>
    <t>C81:W81</t>
  </si>
  <si>
    <r>
      <t>GgCO</t>
    </r>
    <r>
      <rPr>
        <b/>
        <vertAlign val="subscript"/>
        <sz val="11"/>
        <color indexed="63"/>
        <rFont val="Calibri"/>
        <family val="2"/>
      </rPr>
      <t>2</t>
    </r>
    <r>
      <rPr>
        <b/>
        <sz val="11"/>
        <color indexed="63"/>
        <rFont val="Calibri"/>
        <family val="2"/>
      </rPr>
      <t>e</t>
    </r>
  </si>
  <si>
    <t>3C4 Em N2O dir managed soils</t>
  </si>
  <si>
    <r>
      <t>Tabla 6: Emisiones totales en 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directas de suelos gestionados</t>
    </r>
  </si>
  <si>
    <t>Slope</t>
  </si>
  <si>
    <t>Constant</t>
  </si>
  <si>
    <t>Factor</t>
  </si>
  <si>
    <t>Regresión Lineal en función del tiempo</t>
  </si>
  <si>
    <t>Emisiones brutas estatales (no incluye 4B Tierra)</t>
  </si>
  <si>
    <t>a =</t>
  </si>
  <si>
    <t>b =</t>
  </si>
  <si>
    <t>EMISIONES BRUTAS ESTATALES (Gg de CO2e): NO INCLUYE 3B TIERRA</t>
  </si>
  <si>
    <t>Extrapoladas usando la tasa media de crecimiento anual de 2013 a 2017</t>
  </si>
  <si>
    <t>Tasa media de crecimiento anual de 2013 a 2017 de las emisiones brutas estatales</t>
  </si>
  <si>
    <t xml:space="preserve">tmca = </t>
  </si>
  <si>
    <t>Extrapoladas usando una regresión lineal con los datos de 2013 a 2017</t>
  </si>
  <si>
    <t>Parámetros de regresión lineal de las emisiones brutas estatales de 2013 a 2017</t>
  </si>
  <si>
    <t>Diferencia metodológica en la extrapolación</t>
  </si>
  <si>
    <t>EBE (x3B) = a (yr) + b</t>
  </si>
  <si>
    <t>Proyecciones de elaboración propia</t>
  </si>
  <si>
    <t>Esta tabla no esta actualizada al inventario final, por eso esta con formato de tachado, pero se mantiene sin actualizar para conservar las bases de las proyecciones 2019/03/28</t>
  </si>
  <si>
    <t>TOTAL</t>
  </si>
  <si>
    <r>
      <t>Tabla 9: Emisiones totales en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 asociadas al sector 1A2: Industrias de la Manufactura y de la Construcción:</t>
    </r>
  </si>
  <si>
    <t>Sector1A2_IndManyConst_Ch13-32_15Feb19.xlsx</t>
  </si>
  <si>
    <t>Datos de actividad en:</t>
  </si>
  <si>
    <t>Sector1A2_IndManyConst_Ch13-32 Datos de Actividad.xlsx</t>
  </si>
  <si>
    <t>Datos de Actividad</t>
  </si>
  <si>
    <t>H75:V75</t>
  </si>
  <si>
    <t>B96:W96</t>
  </si>
  <si>
    <t>M:\PROJECTS\PECC Chih</t>
  </si>
  <si>
    <t>M:\PROJECTS\PECC Chih\Prospectiva GN</t>
  </si>
  <si>
    <t>Sector1A4_RyC_Ch13-32Feb19.xlsx</t>
  </si>
  <si>
    <t>GgCO2e</t>
  </si>
  <si>
    <t>C97:W97</t>
  </si>
  <si>
    <r>
      <t>EMISIONES ESTATALES 2013 - 2017 (GgCO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e): CHIHUAHUA</t>
    </r>
  </si>
  <si>
    <t>Emisiones adicionales (Mg CO2e)</t>
  </si>
  <si>
    <t>CO2 que se deja de emitir (Mg CO2e)</t>
  </si>
  <si>
    <t>Emisiones netas
(Mg CO2e)</t>
  </si>
  <si>
    <t>Inventario Estatal 2013 - 2017</t>
  </si>
  <si>
    <t>Fuente original: B99:F114, Hoja: "Adicion y retiro de plantas", Libro: C:\Users\Luisa\Desktop\AKR\PECC Copy\00 Comentarios 20200623\01 Potencial de mitigacion\Sector Eléctrico\Nueva LB por error en f_p sect elect\06 Sector Eléctrico PECC Chih 2020 Rev01.xlsx</t>
  </si>
  <si>
    <t>Actualizado el 2020/12/30 AKR</t>
  </si>
  <si>
    <t>Línea Base (sin acciones de mitigación)</t>
  </si>
  <si>
    <t>Figura 13. Línea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</si>
</sst>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0"/>
    <numFmt numFmtId="167" formatCode="0.000000E+00"/>
    <numFmt numFmtId="168" formatCode="#,##0.0000"/>
    <numFmt numFmtId="169" formatCode="_-* #,##0.0_-;\-* #,##0.0_-;_-* &quot;-&quot;??_-;_-@_-"/>
    <numFmt numFmtId="170" formatCode="0.000"/>
    <numFmt numFmtId="171" formatCode="#,##0_ ;\-#,##0\ "/>
    <numFmt numFmtId="172" formatCode="_-* #,##0.0000_-;\-* #,##0.000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vertAlign val="subscript"/>
      <sz val="12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vertAlign val="subscript"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sz val="9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bscript"/>
      <sz val="11"/>
      <color indexed="63"/>
      <name val="Calibri"/>
      <family val="2"/>
    </font>
    <font>
      <b/>
      <sz val="11"/>
      <color indexed="63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trike/>
      <sz val="1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trike/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2" fillId="0" borderId="0" applyNumberFormat="0" applyFont="0" applyFill="0" applyBorder="0" applyAlignment="0" applyProtection="0"/>
  </cellStyleXfs>
  <cellXfs count="176">
    <xf numFmtId="0" fontId="0" fillId="0" borderId="0" xfId="0"/>
    <xf numFmtId="0" fontId="0" fillId="3" borderId="0" xfId="0" applyNumberFormat="1" applyFont="1" applyFill="1" applyBorder="1" applyAlignment="1"/>
    <xf numFmtId="0" fontId="4" fillId="3" borderId="0" xfId="0" applyFont="1" applyFill="1" applyProtection="1"/>
    <xf numFmtId="0" fontId="0" fillId="3" borderId="0" xfId="0" applyFill="1"/>
    <xf numFmtId="0" fontId="5" fillId="3" borderId="0" xfId="0" applyFont="1" applyFill="1" applyAlignment="1" applyProtection="1"/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left"/>
    </xf>
    <xf numFmtId="0" fontId="8" fillId="3" borderId="0" xfId="0" applyFont="1" applyFill="1" applyProtection="1"/>
    <xf numFmtId="0" fontId="6" fillId="3" borderId="0" xfId="0" applyFont="1" applyFill="1"/>
    <xf numFmtId="0" fontId="10" fillId="3" borderId="0" xfId="0" applyFont="1" applyFill="1" applyAlignment="1" applyProtection="1">
      <alignment horizontal="left"/>
    </xf>
    <xf numFmtId="0" fontId="11" fillId="4" borderId="0" xfId="0" applyFont="1" applyFill="1" applyProtection="1"/>
    <xf numFmtId="0" fontId="11" fillId="4" borderId="1" xfId="3" applyNumberFormat="1" applyFont="1" applyFill="1" applyBorder="1" applyAlignment="1">
      <alignment horizontal="center"/>
    </xf>
    <xf numFmtId="4" fontId="12" fillId="5" borderId="5" xfId="0" applyNumberFormat="1" applyFont="1" applyFill="1" applyBorder="1" applyAlignment="1">
      <alignment horizontal="center" vertical="center"/>
    </xf>
    <xf numFmtId="0" fontId="8" fillId="6" borderId="0" xfId="0" applyFont="1" applyFill="1" applyAlignment="1" applyProtection="1">
      <alignment horizontal="left"/>
    </xf>
    <xf numFmtId="4" fontId="14" fillId="6" borderId="6" xfId="0" applyNumberFormat="1" applyFont="1" applyFill="1" applyBorder="1" applyAlignment="1">
      <alignment horizontal="center"/>
    </xf>
    <xf numFmtId="4" fontId="16" fillId="7" borderId="5" xfId="0" applyNumberFormat="1" applyFont="1" applyFill="1" applyBorder="1" applyAlignment="1">
      <alignment horizontal="center"/>
    </xf>
    <xf numFmtId="4" fontId="2" fillId="8" borderId="5" xfId="0" applyNumberFormat="1" applyFont="1" applyFill="1" applyBorder="1" applyAlignment="1">
      <alignment horizontal="center"/>
    </xf>
    <xf numFmtId="4" fontId="17" fillId="3" borderId="5" xfId="0" applyNumberFormat="1" applyFont="1" applyFill="1" applyBorder="1" applyAlignment="1">
      <alignment horizontal="center"/>
    </xf>
    <xf numFmtId="9" fontId="0" fillId="3" borderId="0" xfId="2" applyFont="1" applyFill="1"/>
    <xf numFmtId="9" fontId="0" fillId="3" borderId="0" xfId="0" applyNumberFormat="1" applyFill="1"/>
    <xf numFmtId="4" fontId="12" fillId="5" borderId="5" xfId="0" applyNumberFormat="1" applyFont="1" applyFill="1" applyBorder="1" applyAlignment="1">
      <alignment horizontal="center"/>
    </xf>
    <xf numFmtId="0" fontId="0" fillId="9" borderId="0" xfId="0" applyFill="1" applyAlignment="1">
      <alignment horizontal="right"/>
    </xf>
    <xf numFmtId="0" fontId="0" fillId="9" borderId="0" xfId="0" applyFill="1"/>
    <xf numFmtId="164" fontId="0" fillId="11" borderId="0" xfId="1" applyNumberFormat="1" applyFont="1" applyFill="1"/>
    <xf numFmtId="0" fontId="0" fillId="11" borderId="0" xfId="0" applyFill="1"/>
    <xf numFmtId="0" fontId="16" fillId="11" borderId="0" xfId="0" applyFont="1" applyFill="1" applyAlignment="1"/>
    <xf numFmtId="0" fontId="0" fillId="3" borderId="0" xfId="0" applyFill="1" applyAlignment="1">
      <alignment horizontal="center"/>
    </xf>
    <xf numFmtId="0" fontId="0" fillId="11" borderId="0" xfId="0" applyFill="1" applyBorder="1"/>
    <xf numFmtId="0" fontId="16" fillId="11" borderId="0" xfId="0" applyFont="1" applyFill="1" applyBorder="1" applyAlignment="1"/>
    <xf numFmtId="0" fontId="2" fillId="11" borderId="0" xfId="0" applyFont="1" applyFill="1" applyBorder="1" applyAlignment="1">
      <alignment horizontal="center"/>
    </xf>
    <xf numFmtId="0" fontId="20" fillId="11" borderId="0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0" fillId="3" borderId="5" xfId="0" applyFill="1" applyBorder="1"/>
    <xf numFmtId="164" fontId="0" fillId="3" borderId="5" xfId="1" applyNumberFormat="1" applyFont="1" applyFill="1" applyBorder="1"/>
    <xf numFmtId="0" fontId="0" fillId="3" borderId="5" xfId="0" applyFill="1" applyBorder="1" applyAlignment="1">
      <alignment horizontal="center"/>
    </xf>
    <xf numFmtId="0" fontId="0" fillId="10" borderId="0" xfId="0" applyFill="1"/>
    <xf numFmtId="0" fontId="2" fillId="0" borderId="5" xfId="0" applyFont="1" applyFill="1" applyBorder="1" applyAlignment="1">
      <alignment horizontal="center"/>
    </xf>
    <xf numFmtId="0" fontId="0" fillId="3" borderId="6" xfId="0" applyFill="1" applyBorder="1"/>
    <xf numFmtId="164" fontId="0" fillId="3" borderId="6" xfId="0" applyNumberFormat="1" applyFill="1" applyBorder="1"/>
    <xf numFmtId="164" fontId="0" fillId="3" borderId="0" xfId="0" applyNumberFormat="1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18" fillId="12" borderId="0" xfId="0" applyFont="1" applyFill="1"/>
    <xf numFmtId="0" fontId="0" fillId="13" borderId="5" xfId="0" applyFill="1" applyBorder="1"/>
    <xf numFmtId="166" fontId="0" fillId="0" borderId="0" xfId="0" applyNumberFormat="1" applyFill="1" applyBorder="1"/>
    <xf numFmtId="0" fontId="27" fillId="3" borderId="5" xfId="0" applyFont="1" applyFill="1" applyBorder="1" applyAlignment="1">
      <alignment vertical="center"/>
    </xf>
    <xf numFmtId="3" fontId="24" fillId="3" borderId="5" xfId="0" applyNumberFormat="1" applyFont="1" applyFill="1" applyBorder="1" applyAlignment="1">
      <alignment horizontal="right" indent="2"/>
    </xf>
    <xf numFmtId="0" fontId="24" fillId="3" borderId="5" xfId="3" applyNumberFormat="1" applyFont="1" applyFill="1" applyBorder="1" applyAlignment="1">
      <alignment horizontal="center"/>
    </xf>
    <xf numFmtId="0" fontId="23" fillId="3" borderId="5" xfId="0" applyFont="1" applyFill="1" applyBorder="1" applyAlignment="1" applyProtection="1"/>
    <xf numFmtId="0" fontId="29" fillId="3" borderId="5" xfId="0" applyFont="1" applyFill="1" applyBorder="1" applyAlignment="1" applyProtection="1">
      <alignment horizontal="left"/>
    </xf>
    <xf numFmtId="0" fontId="29" fillId="3" borderId="5" xfId="3" applyNumberFormat="1" applyFont="1" applyFill="1" applyBorder="1" applyAlignment="1">
      <alignment horizontal="center"/>
    </xf>
    <xf numFmtId="3" fontId="29" fillId="3" borderId="5" xfId="0" applyNumberFormat="1" applyFont="1" applyFill="1" applyBorder="1" applyAlignment="1">
      <alignment horizontal="right" indent="2"/>
    </xf>
    <xf numFmtId="0" fontId="29" fillId="3" borderId="5" xfId="0" applyNumberFormat="1" applyFont="1" applyFill="1" applyBorder="1" applyAlignment="1">
      <alignment horizontal="left" vertical="center"/>
    </xf>
    <xf numFmtId="0" fontId="28" fillId="0" borderId="0" xfId="0" applyFont="1"/>
    <xf numFmtId="3" fontId="28" fillId="0" borderId="0" xfId="0" applyNumberFormat="1" applyFont="1"/>
    <xf numFmtId="0" fontId="0" fillId="0" borderId="0" xfId="0" applyBorder="1"/>
    <xf numFmtId="0" fontId="30" fillId="0" borderId="0" xfId="0" applyFont="1" applyBorder="1" applyAlignment="1"/>
    <xf numFmtId="0" fontId="27" fillId="0" borderId="0" xfId="0" applyFont="1"/>
    <xf numFmtId="0" fontId="27" fillId="0" borderId="5" xfId="0" applyFont="1" applyBorder="1"/>
    <xf numFmtId="0" fontId="30" fillId="0" borderId="11" xfId="0" applyFont="1" applyFill="1" applyBorder="1" applyAlignment="1"/>
    <xf numFmtId="3" fontId="0" fillId="14" borderId="0" xfId="0" applyNumberFormat="1" applyFill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horizontal="left"/>
    </xf>
    <xf numFmtId="0" fontId="0" fillId="16" borderId="0" xfId="0" applyFill="1"/>
    <xf numFmtId="0" fontId="34" fillId="16" borderId="0" xfId="0" applyFont="1" applyFill="1" applyBorder="1" applyAlignment="1">
      <alignment vertical="center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right" indent="3"/>
    </xf>
    <xf numFmtId="0" fontId="35" fillId="0" borderId="0" xfId="0" applyFont="1" applyAlignment="1">
      <alignment horizontal="right"/>
    </xf>
    <xf numFmtId="10" fontId="35" fillId="0" borderId="0" xfId="2" applyNumberFormat="1" applyFont="1" applyAlignment="1">
      <alignment horizontal="right"/>
    </xf>
    <xf numFmtId="3" fontId="27" fillId="0" borderId="0" xfId="0" applyNumberFormat="1" applyFont="1"/>
    <xf numFmtId="167" fontId="27" fillId="0" borderId="0" xfId="2" applyNumberFormat="1" applyFont="1"/>
    <xf numFmtId="3" fontId="27" fillId="0" borderId="0" xfId="0" applyNumberFormat="1" applyFont="1" applyAlignment="1">
      <alignment horizontal="right" indent="2"/>
    </xf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3" fontId="29" fillId="0" borderId="0" xfId="4" applyNumberFormat="1" applyFont="1" applyFill="1" applyBorder="1" applyAlignment="1">
      <alignment horizontal="right" indent="1"/>
    </xf>
    <xf numFmtId="3" fontId="37" fillId="0" borderId="0" xfId="4" applyNumberFormat="1" applyFont="1" applyFill="1" applyBorder="1" applyAlignment="1">
      <alignment horizontal="right" indent="1"/>
    </xf>
    <xf numFmtId="3" fontId="27" fillId="0" borderId="0" xfId="0" applyNumberFormat="1" applyFont="1" applyAlignment="1">
      <alignment horizontal="right" indent="1"/>
    </xf>
    <xf numFmtId="0" fontId="0" fillId="0" borderId="0" xfId="0" applyFill="1"/>
    <xf numFmtId="0" fontId="2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vertical="center"/>
    </xf>
    <xf numFmtId="168" fontId="27" fillId="0" borderId="0" xfId="0" applyNumberFormat="1" applyFont="1"/>
    <xf numFmtId="0" fontId="0" fillId="18" borderId="0" xfId="0" applyFill="1"/>
    <xf numFmtId="0" fontId="18" fillId="4" borderId="1" xfId="3" applyNumberFormat="1" applyFont="1" applyFill="1" applyBorder="1" applyAlignment="1">
      <alignment horizontal="center"/>
    </xf>
    <xf numFmtId="169" fontId="28" fillId="0" borderId="0" xfId="1" applyNumberFormat="1" applyFont="1"/>
    <xf numFmtId="3" fontId="29" fillId="3" borderId="11" xfId="0" applyNumberFormat="1" applyFont="1" applyFill="1" applyBorder="1" applyAlignment="1">
      <alignment horizontal="right" indent="2"/>
    </xf>
    <xf numFmtId="164" fontId="0" fillId="0" borderId="0" xfId="1" applyNumberFormat="1" applyFont="1" applyAlignment="1">
      <alignment vertical="top" wrapText="1"/>
    </xf>
    <xf numFmtId="164" fontId="0" fillId="0" borderId="0" xfId="1" applyNumberFormat="1" applyFont="1" applyAlignment="1">
      <alignment vertical="top"/>
    </xf>
    <xf numFmtId="0" fontId="0" fillId="0" borderId="0" xfId="0" applyAlignment="1">
      <alignment horizontal="center"/>
    </xf>
    <xf numFmtId="0" fontId="5" fillId="19" borderId="1" xfId="0" applyFont="1" applyFill="1" applyBorder="1" applyAlignment="1">
      <alignment horizontal="center"/>
    </xf>
    <xf numFmtId="0" fontId="28" fillId="0" borderId="0" xfId="0" applyFont="1" applyAlignment="1">
      <alignment wrapText="1"/>
    </xf>
    <xf numFmtId="3" fontId="29" fillId="0" borderId="5" xfId="0" applyNumberFormat="1" applyFont="1" applyFill="1" applyBorder="1" applyAlignment="1">
      <alignment horizontal="right" indent="2"/>
    </xf>
    <xf numFmtId="3" fontId="29" fillId="0" borderId="11" xfId="0" applyNumberFormat="1" applyFont="1" applyFill="1" applyBorder="1" applyAlignment="1">
      <alignment horizontal="right" indent="2"/>
    </xf>
    <xf numFmtId="0" fontId="28" fillId="0" borderId="8" xfId="0" applyFont="1" applyBorder="1" applyAlignment="1">
      <alignment vertical="top" wrapText="1"/>
    </xf>
    <xf numFmtId="0" fontId="27" fillId="0" borderId="5" xfId="0" applyFont="1" applyBorder="1" applyAlignment="1">
      <alignment horizontal="center" vertical="center"/>
    </xf>
    <xf numFmtId="170" fontId="27" fillId="0" borderId="5" xfId="0" applyNumberFormat="1" applyFont="1" applyBorder="1"/>
    <xf numFmtId="0" fontId="12" fillId="0" borderId="0" xfId="0" applyFont="1" applyFill="1" applyBorder="1" applyAlignment="1" applyProtection="1"/>
    <xf numFmtId="0" fontId="12" fillId="0" borderId="0" xfId="3" applyNumberFormat="1" applyFont="1" applyFill="1" applyBorder="1" applyAlignment="1">
      <alignment horizontal="center"/>
    </xf>
    <xf numFmtId="0" fontId="23" fillId="0" borderId="0" xfId="0" applyFont="1" applyFill="1" applyBorder="1" applyAlignment="1" applyProtection="1"/>
    <xf numFmtId="165" fontId="24" fillId="0" borderId="0" xfId="2" applyNumberFormat="1" applyFont="1" applyFill="1" applyBorder="1" applyAlignment="1">
      <alignment horizontal="right" indent="2"/>
    </xf>
    <xf numFmtId="0" fontId="25" fillId="0" borderId="0" xfId="0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>
      <alignment horizontal="right" indent="2"/>
    </xf>
    <xf numFmtId="0" fontId="0" fillId="3" borderId="0" xfId="0" applyFill="1" applyAlignment="1">
      <alignment horizontal="right"/>
    </xf>
    <xf numFmtId="0" fontId="0" fillId="0" borderId="13" xfId="0" applyFill="1" applyBorder="1" applyAlignment="1"/>
    <xf numFmtId="43" fontId="0" fillId="3" borderId="0" xfId="1" applyFont="1" applyFill="1"/>
    <xf numFmtId="0" fontId="0" fillId="3" borderId="0" xfId="0" applyFill="1" applyAlignment="1">
      <alignment horizontal="left"/>
    </xf>
    <xf numFmtId="0" fontId="11" fillId="4" borderId="14" xfId="3" applyNumberFormat="1" applyFont="1" applyFill="1" applyBorder="1" applyAlignment="1">
      <alignment horizontal="center"/>
    </xf>
    <xf numFmtId="4" fontId="12" fillId="5" borderId="9" xfId="0" applyNumberFormat="1" applyFont="1" applyFill="1" applyBorder="1" applyAlignment="1">
      <alignment horizontal="center" vertical="center"/>
    </xf>
    <xf numFmtId="0" fontId="11" fillId="3" borderId="0" xfId="3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0" fontId="0" fillId="3" borderId="0" xfId="0" applyFill="1" applyBorder="1"/>
    <xf numFmtId="4" fontId="0" fillId="3" borderId="0" xfId="0" applyNumberFormat="1" applyFill="1" applyBorder="1"/>
    <xf numFmtId="0" fontId="11" fillId="4" borderId="5" xfId="3" applyNumberFormat="1" applyFont="1" applyFill="1" applyBorder="1" applyAlignment="1">
      <alignment horizontal="center"/>
    </xf>
    <xf numFmtId="0" fontId="0" fillId="20" borderId="0" xfId="0" applyFill="1"/>
    <xf numFmtId="165" fontId="0" fillId="20" borderId="0" xfId="2" applyNumberFormat="1" applyFont="1" applyFill="1"/>
    <xf numFmtId="43" fontId="0" fillId="11" borderId="0" xfId="1" applyNumberFormat="1" applyFont="1" applyFill="1"/>
    <xf numFmtId="166" fontId="0" fillId="3" borderId="0" xfId="0" applyNumberFormat="1" applyFill="1" applyBorder="1"/>
    <xf numFmtId="43" fontId="0" fillId="13" borderId="5" xfId="1" applyFont="1" applyFill="1" applyBorder="1"/>
    <xf numFmtId="0" fontId="2" fillId="13" borderId="5" xfId="0" applyFont="1" applyFill="1" applyBorder="1" applyAlignment="1">
      <alignment horizontal="center"/>
    </xf>
    <xf numFmtId="0" fontId="18" fillId="10" borderId="0" xfId="0" applyNumberFormat="1" applyFont="1" applyFill="1" applyAlignment="1">
      <alignment horizontal="center"/>
    </xf>
    <xf numFmtId="0" fontId="43" fillId="3" borderId="5" xfId="0" applyFont="1" applyFill="1" applyBorder="1" applyAlignment="1" applyProtection="1">
      <alignment horizontal="left"/>
    </xf>
    <xf numFmtId="0" fontId="45" fillId="3" borderId="5" xfId="0" applyFont="1" applyFill="1" applyBorder="1" applyAlignment="1" applyProtection="1">
      <alignment horizontal="left"/>
    </xf>
    <xf numFmtId="0" fontId="23" fillId="3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/>
    </xf>
    <xf numFmtId="3" fontId="27" fillId="0" borderId="0" xfId="0" applyNumberFormat="1" applyFont="1" applyFill="1" applyBorder="1"/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center" wrapText="1"/>
    </xf>
    <xf numFmtId="171" fontId="30" fillId="0" borderId="5" xfId="0" applyNumberFormat="1" applyFont="1" applyBorder="1" applyAlignment="1">
      <alignment horizontal="right" indent="2"/>
    </xf>
    <xf numFmtId="171" fontId="30" fillId="0" borderId="5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27" fillId="0" borderId="5" xfId="0" applyFont="1" applyFill="1" applyBorder="1" applyAlignment="1">
      <alignment vertical="center"/>
    </xf>
    <xf numFmtId="0" fontId="47" fillId="0" borderId="5" xfId="0" applyFont="1" applyFill="1" applyBorder="1" applyAlignment="1" applyProtection="1">
      <alignment horizontal="left"/>
    </xf>
    <xf numFmtId="0" fontId="47" fillId="0" borderId="5" xfId="0" applyFont="1" applyFill="1" applyBorder="1" applyAlignment="1" applyProtection="1">
      <alignment horizontal="center"/>
    </xf>
    <xf numFmtId="0" fontId="23" fillId="3" borderId="5" xfId="0" applyFont="1" applyFill="1" applyBorder="1" applyAlignment="1" applyProtection="1">
      <alignment horizontal="left"/>
    </xf>
    <xf numFmtId="165" fontId="24" fillId="3" borderId="5" xfId="2" applyNumberFormat="1" applyFont="1" applyFill="1" applyBorder="1" applyAlignment="1">
      <alignment horizontal="right" indent="2"/>
    </xf>
    <xf numFmtId="0" fontId="47" fillId="3" borderId="5" xfId="0" applyNumberFormat="1" applyFont="1" applyFill="1" applyBorder="1" applyAlignment="1">
      <alignment horizontal="left" vertical="center"/>
    </xf>
    <xf numFmtId="9" fontId="24" fillId="3" borderId="5" xfId="2" applyNumberFormat="1" applyFont="1" applyFill="1" applyBorder="1" applyAlignment="1">
      <alignment horizontal="right" indent="2"/>
    </xf>
    <xf numFmtId="0" fontId="47" fillId="3" borderId="5" xfId="3" applyNumberFormat="1" applyFont="1" applyFill="1" applyBorder="1" applyAlignment="1">
      <alignment horizontal="center"/>
    </xf>
    <xf numFmtId="172" fontId="27" fillId="0" borderId="5" xfId="1" applyNumberFormat="1" applyFont="1" applyBorder="1"/>
    <xf numFmtId="0" fontId="5" fillId="8" borderId="5" xfId="0" applyFont="1" applyFill="1" applyBorder="1" applyAlignment="1" applyProtection="1">
      <alignment horizontal="left"/>
    </xf>
    <xf numFmtId="0" fontId="12" fillId="5" borderId="2" xfId="0" applyNumberFormat="1" applyFont="1" applyFill="1" applyBorder="1" applyAlignment="1">
      <alignment horizontal="left" vertical="center"/>
    </xf>
    <xf numFmtId="0" fontId="12" fillId="5" borderId="3" xfId="0" applyNumberFormat="1" applyFont="1" applyFill="1" applyBorder="1" applyAlignment="1">
      <alignment horizontal="left" vertical="center"/>
    </xf>
    <xf numFmtId="0" fontId="12" fillId="5" borderId="4" xfId="0" applyNumberFormat="1" applyFont="1" applyFill="1" applyBorder="1" applyAlignment="1">
      <alignment horizontal="left" vertical="center"/>
    </xf>
    <xf numFmtId="0" fontId="15" fillId="7" borderId="5" xfId="0" applyFont="1" applyFill="1" applyBorder="1" applyAlignment="1" applyProtection="1">
      <alignment horizontal="left"/>
    </xf>
    <xf numFmtId="0" fontId="8" fillId="6" borderId="7" xfId="0" applyFont="1" applyFill="1" applyBorder="1" applyAlignment="1" applyProtection="1">
      <alignment horizontal="left"/>
    </xf>
    <xf numFmtId="0" fontId="8" fillId="6" borderId="8" xfId="0" applyFont="1" applyFill="1" applyBorder="1" applyAlignment="1" applyProtection="1">
      <alignment horizontal="left"/>
    </xf>
    <xf numFmtId="0" fontId="17" fillId="3" borderId="5" xfId="0" applyFont="1" applyFill="1" applyBorder="1" applyAlignment="1" applyProtection="1">
      <alignment horizontal="right"/>
    </xf>
    <xf numFmtId="0" fontId="17" fillId="3" borderId="9" xfId="0" applyFont="1" applyFill="1" applyBorder="1" applyAlignment="1" applyProtection="1">
      <alignment horizontal="right"/>
    </xf>
    <xf numFmtId="0" fontId="17" fillId="3" borderId="7" xfId="0" applyFont="1" applyFill="1" applyBorder="1" applyAlignment="1" applyProtection="1">
      <alignment horizontal="right"/>
    </xf>
    <xf numFmtId="0" fontId="17" fillId="3" borderId="8" xfId="0" applyFont="1" applyFill="1" applyBorder="1" applyAlignment="1" applyProtection="1">
      <alignment horizontal="right"/>
    </xf>
    <xf numFmtId="0" fontId="11" fillId="4" borderId="0" xfId="0" applyFont="1" applyFill="1" applyAlignment="1">
      <alignment horizontal="left"/>
    </xf>
    <xf numFmtId="0" fontId="11" fillId="4" borderId="12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8" fillId="10" borderId="0" xfId="0" applyFont="1" applyFill="1" applyAlignment="1">
      <alignment horizontal="center"/>
    </xf>
    <xf numFmtId="0" fontId="11" fillId="4" borderId="0" xfId="0" applyFont="1" applyFill="1" applyAlignment="1" applyProtection="1">
      <alignment horizontal="left"/>
    </xf>
    <xf numFmtId="0" fontId="11" fillId="4" borderId="12" xfId="0" applyFont="1" applyFill="1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46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 vertical="top" wrapText="1"/>
    </xf>
    <xf numFmtId="0" fontId="44" fillId="0" borderId="5" xfId="0" applyFont="1" applyBorder="1" applyAlignment="1">
      <alignment horizontal="center"/>
    </xf>
    <xf numFmtId="0" fontId="0" fillId="14" borderId="0" xfId="0" applyFill="1" applyAlignment="1">
      <alignment horizontal="center"/>
    </xf>
    <xf numFmtId="0" fontId="28" fillId="16" borderId="0" xfId="0" applyFont="1" applyFill="1" applyAlignment="1">
      <alignment horizontal="center"/>
    </xf>
    <xf numFmtId="0" fontId="27" fillId="17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vertical="top" wrapText="1"/>
    </xf>
    <xf numFmtId="0" fontId="0" fillId="0" borderId="5" xfId="0" applyBorder="1"/>
  </cellXfs>
  <cellStyles count="5">
    <cellStyle name="Énfasis1" xfId="3" builtinId="29"/>
    <cellStyle name="Millares" xfId="1" builtinId="3"/>
    <cellStyle name="Normal" xfId="0" builtinId="0"/>
    <cellStyle name="Normal 2" xfId="4" xr:uid="{AC2559DF-3337-44BC-914A-BE991C16AC8C}"/>
    <cellStyle name="Porcentaje" xfId="2" builtinId="5"/>
  </cellStyles>
  <dxfs count="0"/>
  <tableStyles count="0" defaultTableStyle="TableStyleMedium2" defaultPivotStyle="PivotStyleLight16"/>
  <colors>
    <mruColors>
      <color rgb="FF7CAFDD"/>
      <color rgb="FF636363"/>
      <color rgb="FF0000FF"/>
      <color rgb="FF00FF00"/>
      <color rgb="FFFFCCCC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82027678702911"/>
          <c:y val="0.14990371446072528"/>
          <c:w val="0.66439177254690018"/>
          <c:h val="0.69484958395562202"/>
        </c:manualLayout>
      </c:layout>
      <c:scatterChart>
        <c:scatterStyle val="lineMarker"/>
        <c:varyColors val="0"/>
        <c:ser>
          <c:idx val="0"/>
          <c:order val="1"/>
          <c:tx>
            <c:strRef>
              <c:f>'InvEstatalGEI_Chihuahua13-17'!$M$14</c:f>
              <c:strCache>
                <c:ptCount val="1"/>
                <c:pt idx="0">
                  <c:v> Inventario Estatal 2013 - 2017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'InvEstatalGEI_Chihuahua13-17'!$G$13:$K$13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'InvEstatalGEI_Chihuahua13-17'!$G$14:$K$14</c:f>
              <c:numCache>
                <c:formatCode>#,##0.00</c:formatCode>
                <c:ptCount val="5"/>
                <c:pt idx="0">
                  <c:v>29717.490613996521</c:v>
                </c:pt>
                <c:pt idx="1">
                  <c:v>29893.679334214514</c:v>
                </c:pt>
                <c:pt idx="2">
                  <c:v>29879.72682345628</c:v>
                </c:pt>
                <c:pt idx="3">
                  <c:v>30652.015083478462</c:v>
                </c:pt>
                <c:pt idx="4">
                  <c:v>31008.664334096931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05-48BD-92F7-68BB919A30D9}"/>
            </c:ext>
          </c:extLst>
        </c:ser>
        <c:ser>
          <c:idx val="3"/>
          <c:order val="2"/>
          <c:tx>
            <c:v>Línea base de Chihuahua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'InvEstatalGEI_Chihuahua13-17'!$K$96:$Z$96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'InvEstatalGEI_Chihuahua13-17'!$K$138:$Z$138</c:f>
              <c:numCache>
                <c:formatCode>_(* #,##0.00_);_(* \(#,##0.00\);_(* "-"??_);_(@_)</c:formatCode>
                <c:ptCount val="16"/>
                <c:pt idx="0">
                  <c:v>31008.664334096939</c:v>
                </c:pt>
                <c:pt idx="1">
                  <c:v>31592.750784180451</c:v>
                </c:pt>
                <c:pt idx="2">
                  <c:v>35890.513171174913</c:v>
                </c:pt>
                <c:pt idx="3">
                  <c:v>36314.417145096158</c:v>
                </c:pt>
                <c:pt idx="4">
                  <c:v>37312.688355668339</c:v>
                </c:pt>
                <c:pt idx="5">
                  <c:v>37864.269993946138</c:v>
                </c:pt>
                <c:pt idx="6">
                  <c:v>35821.255111464532</c:v>
                </c:pt>
                <c:pt idx="7">
                  <c:v>36647.46080504686</c:v>
                </c:pt>
                <c:pt idx="8">
                  <c:v>37295.77274863451</c:v>
                </c:pt>
                <c:pt idx="9">
                  <c:v>38014.175260754542</c:v>
                </c:pt>
                <c:pt idx="10">
                  <c:v>40537.802111416633</c:v>
                </c:pt>
                <c:pt idx="11">
                  <c:v>39764.175698595587</c:v>
                </c:pt>
                <c:pt idx="12">
                  <c:v>40597.4885152309</c:v>
                </c:pt>
                <c:pt idx="13">
                  <c:v>41889.796922070724</c:v>
                </c:pt>
                <c:pt idx="14">
                  <c:v>42867.813752992908</c:v>
                </c:pt>
                <c:pt idx="15">
                  <c:v>43866.386104038269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B7-44D8-BC83-CD1C9C929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'InvEstatalGEI_Chihuahua13-17'!$C$127</c:f>
              <c:strCache>
                <c:ptCount val="1"/>
                <c:pt idx="0">
                  <c:v>Línea base nacional (2018)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'InvEstatalGEI_Chihuahua13-17'!$G$131:$X$131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668544.04701163515</c:v>
                </c:pt>
                <c:pt idx="1">
                  <c:v>670014.4609770492</c:v>
                </c:pt>
                <c:pt idx="2" formatCode="_-* #,##0_-;\-* #,##0_-;_-* &quot;-&quot;??_-;_-@_-">
                  <c:v>683000</c:v>
                </c:pt>
                <c:pt idx="3" formatCode="_-* #,##0_-;\-* #,##0_-;_-* &quot;-&quot;??_-;_-@_-">
                  <c:v>709275.70839620999</c:v>
                </c:pt>
                <c:pt idx="4" formatCode="_-* #,##0_-;\-* #,##0_-;_-* &quot;-&quot;??_-;_-@_-">
                  <c:v>719800.0285943877</c:v>
                </c:pt>
                <c:pt idx="5" formatCode="_-* #,##0_-;\-* #,##0_-;_-* &quot;-&quot;??_-;_-@_-">
                  <c:v>736186.03462021169</c:v>
                </c:pt>
                <c:pt idx="6" formatCode="_-* #,##0_-;\-* #,##0_-;_-* &quot;-&quot;??_-;_-@_-">
                  <c:v>748901.17885210679</c:v>
                </c:pt>
                <c:pt idx="7" formatCode="_-* #,##0_-;\-* #,##0_-;_-* &quot;-&quot;??_-;_-@_-">
                  <c:v>763057.43242533691</c:v>
                </c:pt>
                <c:pt idx="8" formatCode="_-* #,##0_-;\-* #,##0_-;_-* &quot;-&quot;??_-;_-@_-">
                  <c:v>779010.32226322766</c:v>
                </c:pt>
                <c:pt idx="9" formatCode="_-* #,##0_-;\-* #,##0_-;_-* &quot;-&quot;??_-;_-@_-">
                  <c:v>796935.97709205456</c:v>
                </c:pt>
                <c:pt idx="10" formatCode="_-* #,##0_-;\-* #,##0_-;_-* &quot;-&quot;??_-;_-@_-">
                  <c:v>815556.21198711626</c:v>
                </c:pt>
                <c:pt idx="11" formatCode="_-* #,##0_-;\-* #,##0_-;_-* &quot;-&quot;??_-;_-@_-">
                  <c:v>834463.6979412873</c:v>
                </c:pt>
                <c:pt idx="12" formatCode="_-* #,##0_-;\-* #,##0_-;_-* &quot;-&quot;??_-;_-@_-">
                  <c:v>851847.81575126702</c:v>
                </c:pt>
                <c:pt idx="13" formatCode="_-* #,##0_-;\-* #,##0_-;_-* &quot;-&quot;??_-;_-@_-">
                  <c:v>874785.73147240549</c:v>
                </c:pt>
                <c:pt idx="14" formatCode="_-* #,##0_-;\-* #,##0_-;_-* &quot;-&quot;??_-;_-@_-">
                  <c:v>893149.03406932729</c:v>
                </c:pt>
                <c:pt idx="15" formatCode="_-* #,##0_-;\-* #,##0_-;_-* &quot;-&quot;??_-;_-@_-">
                  <c:v>911312.26595416619</c:v>
                </c:pt>
                <c:pt idx="16" formatCode="_-* #,##0_-;\-* #,##0_-;_-* &quot;-&quot;??_-;_-@_-">
                  <c:v>930704.00418015709</c:v>
                </c:pt>
                <c:pt idx="17" formatCode="_-* #,##0_-;\-* #,##0_-;_-* &quot;-&quot;??_-;_-@_-">
                  <c:v>950655.79614647105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05-48BD-92F7-68BB919A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081640"/>
        <c:axId val="682077048"/>
      </c:scatterChart>
      <c:valAx>
        <c:axId val="5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50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estatales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480"/>
        <c:crosses val="autoZero"/>
        <c:crossBetween val="midCat"/>
      </c:valAx>
      <c:valAx>
        <c:axId val="682077048"/>
        <c:scaling>
          <c:orientation val="minMax"/>
          <c:min val="5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u="none" strike="noStrike" baseline="-25000">
                    <a:effectLst/>
                  </a:rPr>
                  <a:t>2</a:t>
                </a:r>
                <a:r>
                  <a:rPr lang="en-US" sz="1000" b="0" i="0" u="none" strike="noStrike" baseline="0">
                    <a:effectLst/>
                  </a:rPr>
                  <a:t>e)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2081640"/>
        <c:crosses val="max"/>
        <c:crossBetween val="midCat"/>
      </c:valAx>
      <c:valAx>
        <c:axId val="682081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2077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124917502540358"/>
          <c:y val="2.4474008410359471E-2"/>
          <c:w val="0.33573004727489714"/>
          <c:h val="0.1127560789279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38232496194826"/>
          <c:y val="0.13351558956916101"/>
          <c:w val="0.68447631278538812"/>
          <c:h val="0.70664257369614514"/>
        </c:manualLayout>
      </c:layout>
      <c:scatterChart>
        <c:scatterStyle val="lineMarker"/>
        <c:varyColors val="0"/>
        <c:ser>
          <c:idx val="0"/>
          <c:order val="1"/>
          <c:tx>
            <c:strRef>
              <c:f>'InvEstatalGEI_Chihuahua13-17'!$C$151</c:f>
              <c:strCache>
                <c:ptCount val="1"/>
                <c:pt idx="0">
                  <c:v>Emisiones del sector de generación eléctrica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'InvEstatalGEI_Chihuahua13-17'!$G$147:$Z$147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'InvEstatalGEI_Chihuahua13-17'!$G$151:$Z$151</c:f>
              <c:numCache>
                <c:formatCode>_-* #,##0_-;\-* #,##0_-;_-* "-"??_-;_-@_-</c:formatCode>
                <c:ptCount val="20"/>
                <c:pt idx="0">
                  <c:v>6652.9165587896678</c:v>
                </c:pt>
                <c:pt idx="1">
                  <c:v>6688.8854353681627</c:v>
                </c:pt>
                <c:pt idx="2">
                  <c:v>5925.2165785973184</c:v>
                </c:pt>
                <c:pt idx="3">
                  <c:v>5376.3772704594967</c:v>
                </c:pt>
                <c:pt idx="4">
                  <c:v>5361.7258744170213</c:v>
                </c:pt>
                <c:pt idx="5">
                  <c:v>5361.7258744170213</c:v>
                </c:pt>
                <c:pt idx="6">
                  <c:v>8112.0788744170213</c:v>
                </c:pt>
                <c:pt idx="7">
                  <c:v>8112.0788744170213</c:v>
                </c:pt>
                <c:pt idx="8">
                  <c:v>8418.4788744170219</c:v>
                </c:pt>
                <c:pt idx="9">
                  <c:v>8418.4788744170219</c:v>
                </c:pt>
                <c:pt idx="10">
                  <c:v>5979.1628744170221</c:v>
                </c:pt>
                <c:pt idx="11">
                  <c:v>5979.1628744170221</c:v>
                </c:pt>
                <c:pt idx="12">
                  <c:v>5979.1628744170221</c:v>
                </c:pt>
                <c:pt idx="13">
                  <c:v>5979.1628744170221</c:v>
                </c:pt>
                <c:pt idx="14">
                  <c:v>7343.7258744170222</c:v>
                </c:pt>
                <c:pt idx="15">
                  <c:v>5762.0958744170221</c:v>
                </c:pt>
                <c:pt idx="16">
                  <c:v>5762.0958744170221</c:v>
                </c:pt>
                <c:pt idx="17">
                  <c:v>5762.0958744170221</c:v>
                </c:pt>
                <c:pt idx="18">
                  <c:v>5762.0958744170221</c:v>
                </c:pt>
                <c:pt idx="19">
                  <c:v>5762.0958744170221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D2-4B2B-B04D-6C7884364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'InvEstatalGEI_Chihuahua13-17'!$C$130</c:f>
              <c:strCache>
                <c:ptCount val="1"/>
                <c:pt idx="0">
                  <c:v>Línea Base Nacional - Sector: Generación eléctrica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'InvEstatalGEI_Chihuahua13-17'!$G$130:$X$130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129054.27762134357</c:v>
                </c:pt>
                <c:pt idx="1">
                  <c:v>120416.09668320019</c:v>
                </c:pt>
                <c:pt idx="2" formatCode="_-* #,##0_-;\-* #,##0_-;_-* &quot;-&quot;??_-;_-@_-">
                  <c:v>125124.42833367319</c:v>
                </c:pt>
                <c:pt idx="3" formatCode="_-* #,##0_-;\-* #,##0_-;_-* &quot;-&quot;??_-;_-@_-">
                  <c:v>121919.10217588698</c:v>
                </c:pt>
                <c:pt idx="4" formatCode="_-* #,##0_-;\-* #,##0_-;_-* &quot;-&quot;??_-;_-@_-">
                  <c:v>126339.83503206156</c:v>
                </c:pt>
                <c:pt idx="5" formatCode="_-* #,##0_-;\-* #,##0_-;_-* &quot;-&quot;??_-;_-@_-">
                  <c:v>129767.01694124776</c:v>
                </c:pt>
                <c:pt idx="6" formatCode="_-* #,##0_-;\-* #,##0_-;_-* &quot;-&quot;??_-;_-@_-">
                  <c:v>132892.11308662596</c:v>
                </c:pt>
                <c:pt idx="7" formatCode="_-* #,##0_-;\-* #,##0_-;_-* &quot;-&quot;??_-;_-@_-">
                  <c:v>136683.38355314179</c:v>
                </c:pt>
                <c:pt idx="8" formatCode="_-* #,##0_-;\-* #,##0_-;_-* &quot;-&quot;??_-;_-@_-">
                  <c:v>140317.32583051632</c:v>
                </c:pt>
                <c:pt idx="9" formatCode="_-* #,##0_-;\-* #,##0_-;_-* &quot;-&quot;??_-;_-@_-">
                  <c:v>144147.28738010509</c:v>
                </c:pt>
                <c:pt idx="10" formatCode="_-* #,##0_-;\-* #,##0_-;_-* &quot;-&quot;??_-;_-@_-">
                  <c:v>147998.4177707519</c:v>
                </c:pt>
                <c:pt idx="11" formatCode="_-* #,##0_-;\-* #,##0_-;_-* &quot;-&quot;??_-;_-@_-">
                  <c:v>152314.64445793204</c:v>
                </c:pt>
                <c:pt idx="12" formatCode="_-* #,##0_-;\-* #,##0_-;_-* &quot;-&quot;??_-;_-@_-">
                  <c:v>156868.67511635934</c:v>
                </c:pt>
                <c:pt idx="13" formatCode="_-* #,##0_-;\-* #,##0_-;_-* &quot;-&quot;??_-;_-@_-">
                  <c:v>161509.83673623102</c:v>
                </c:pt>
                <c:pt idx="14" formatCode="_-* #,##0_-;\-* #,##0_-;_-* &quot;-&quot;??_-;_-@_-">
                  <c:v>166140.02592737219</c:v>
                </c:pt>
                <c:pt idx="15" formatCode="_-* #,##0_-;\-* #,##0_-;_-* &quot;-&quot;??_-;_-@_-">
                  <c:v>171082.94285339315</c:v>
                </c:pt>
                <c:pt idx="16" formatCode="_-* #,##0_-;\-* #,##0_-;_-* &quot;-&quot;??_-;_-@_-">
                  <c:v>175934.28840057692</c:v>
                </c:pt>
                <c:pt idx="17" formatCode="_-* #,##0_-;\-* #,##0_-;_-* &quot;-&quot;??_-;_-@_-">
                  <c:v>180941.24568055721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1E-4937-AD8C-71465227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603024"/>
        <c:axId val="557602368"/>
      </c:scatterChart>
      <c:valAx>
        <c:axId val="519714480"/>
        <c:scaling>
          <c:orientation val="minMax"/>
          <c:max val="2034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480"/>
        <c:crosses val="autoZero"/>
        <c:crossBetween val="midCat"/>
        <c:majorUnit val="2500"/>
      </c:valAx>
      <c:valAx>
        <c:axId val="5576023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7603024"/>
        <c:crosses val="max"/>
        <c:crossBetween val="midCat"/>
      </c:valAx>
      <c:valAx>
        <c:axId val="55760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60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'Tabla Resumen Prioritarias'!$B$39:$U$39</c:f>
              <c:numCache>
                <c:formatCode>#,##0</c:formatCode>
                <c:ptCount val="20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31592.750784180451</c:v>
                </c:pt>
                <c:pt idx="6">
                  <c:v>35890.513171174913</c:v>
                </c:pt>
                <c:pt idx="7">
                  <c:v>36314.417145096158</c:v>
                </c:pt>
                <c:pt idx="8">
                  <c:v>37312.688355668339</c:v>
                </c:pt>
                <c:pt idx="9">
                  <c:v>37864.269993946138</c:v>
                </c:pt>
                <c:pt idx="10">
                  <c:v>35821.255111464532</c:v>
                </c:pt>
                <c:pt idx="11">
                  <c:v>36647.46080504686</c:v>
                </c:pt>
                <c:pt idx="12">
                  <c:v>37295.77274863451</c:v>
                </c:pt>
                <c:pt idx="13">
                  <c:v>38014.175260754542</c:v>
                </c:pt>
                <c:pt idx="14">
                  <c:v>40537.802111416633</c:v>
                </c:pt>
                <c:pt idx="15">
                  <c:v>39764.175698595587</c:v>
                </c:pt>
                <c:pt idx="16">
                  <c:v>40597.4885152309</c:v>
                </c:pt>
                <c:pt idx="17">
                  <c:v>41889.796922070724</c:v>
                </c:pt>
                <c:pt idx="18">
                  <c:v>42867.813752992908</c:v>
                </c:pt>
                <c:pt idx="19">
                  <c:v>43866.386104038269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7F-4AA9-B33D-51FACB2A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229736"/>
        <c:axId val="414230064"/>
      </c:scatterChart>
      <c:valAx>
        <c:axId val="414229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30064"/>
        <c:crosses val="autoZero"/>
        <c:crossBetween val="midCat"/>
        <c:majorUnit val="2"/>
      </c:valAx>
      <c:valAx>
        <c:axId val="41423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29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58153778748E-2"/>
          <c:y val="2.5175013195707526E-2"/>
          <c:w val="0.87873014005665373"/>
          <c:h val="0.71546828858386147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'Tabla Resumen Prioritarias'!$A$29</c:f>
              <c:strCache>
                <c:ptCount val="1"/>
                <c:pt idx="0">
                  <c:v>1A1a Actividad principal producción de electricidad y calor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Prioritarias'!$B$29:$F$29</c:f>
              <c:numCache>
                <c:formatCode>#,##0</c:formatCode>
                <c:ptCount val="5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15-4896-A793-CDB703EC1B19}"/>
            </c:ext>
          </c:extLst>
        </c:ser>
        <c:ser>
          <c:idx val="2"/>
          <c:order val="1"/>
          <c:tx>
            <c:strRef>
              <c:f>'Tabla Resumen Prioritarias'!$A$30</c:f>
              <c:strCache>
                <c:ptCount val="1"/>
                <c:pt idx="0">
                  <c:v>1A3b Autotransporte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Prioritarias'!$B$30:$F$30</c:f>
              <c:numCache>
                <c:formatCode>#,##0</c:formatCode>
                <c:ptCount val="5"/>
                <c:pt idx="0">
                  <c:v>6429.37725684211</c:v>
                </c:pt>
                <c:pt idx="1">
                  <c:v>6364.90990976585</c:v>
                </c:pt>
                <c:pt idx="2">
                  <c:v>6824.49884192026</c:v>
                </c:pt>
                <c:pt idx="3">
                  <c:v>6985.5019687943404</c:v>
                </c:pt>
                <c:pt idx="4">
                  <c:v>6862.8105370773601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515-4896-A793-CDB703EC1B19}"/>
            </c:ext>
          </c:extLst>
        </c:ser>
        <c:ser>
          <c:idx val="3"/>
          <c:order val="2"/>
          <c:tx>
            <c:strRef>
              <c:f>'Tabla Resumen Prioritarias'!$A$31</c:f>
              <c:strCache>
                <c:ptCount val="1"/>
                <c:pt idx="0">
                  <c:v>3A2a Bovinos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Prioritarias'!$B$31:$F$31</c:f>
              <c:numCache>
                <c:formatCode>#,##0</c:formatCode>
                <c:ptCount val="5"/>
                <c:pt idx="0">
                  <c:v>3600.3411524080839</c:v>
                </c:pt>
                <c:pt idx="1">
                  <c:v>3684.2695272366668</c:v>
                </c:pt>
                <c:pt idx="2">
                  <c:v>3817.6399996797709</c:v>
                </c:pt>
                <c:pt idx="3">
                  <c:v>4423.6938958774172</c:v>
                </c:pt>
                <c:pt idx="4">
                  <c:v>4605.358367948681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515-4896-A793-CDB703EC1B19}"/>
            </c:ext>
          </c:extLst>
        </c:ser>
        <c:ser>
          <c:idx val="4"/>
          <c:order val="3"/>
          <c:tx>
            <c:strRef>
              <c:f>'Tabla Resumen Prioritarias'!$A$32</c:f>
              <c:strCache>
                <c:ptCount val="1"/>
                <c:pt idx="0">
                  <c:v>3A1a Bovino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Prioritarias'!$B$32:$F$32</c:f>
              <c:numCache>
                <c:formatCode>#,##0</c:formatCode>
                <c:ptCount val="5"/>
                <c:pt idx="0">
                  <c:v>3237.0198383011998</c:v>
                </c:pt>
                <c:pt idx="1">
                  <c:v>3315.9102162787999</c:v>
                </c:pt>
                <c:pt idx="2">
                  <c:v>3479.1418364527999</c:v>
                </c:pt>
                <c:pt idx="3">
                  <c:v>3860.5180900104001</c:v>
                </c:pt>
                <c:pt idx="4">
                  <c:v>3960.1264578540004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15-4896-A793-CDB703EC1B19}"/>
            </c:ext>
          </c:extLst>
        </c:ser>
        <c:ser>
          <c:idx val="5"/>
          <c:order val="4"/>
          <c:tx>
            <c:strRef>
              <c:f>'Tabla Resumen Prioritarias'!$A$33</c:f>
              <c:strCache>
                <c:ptCount val="1"/>
                <c:pt idx="0">
                  <c:v>1A2 Industrias manufactura y de la construcción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Prioritarias'!$B$33:$F$33</c:f>
              <c:numCache>
                <c:formatCode>#,##0</c:formatCode>
                <c:ptCount val="5"/>
                <c:pt idx="0">
                  <c:v>1830.1041703016547</c:v>
                </c:pt>
                <c:pt idx="1">
                  <c:v>1814.4799327099774</c:v>
                </c:pt>
                <c:pt idx="2">
                  <c:v>1435.0260239346042</c:v>
                </c:pt>
                <c:pt idx="3">
                  <c:v>1993.2791637428973</c:v>
                </c:pt>
                <c:pt idx="4">
                  <c:v>2147.0392392463536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515-4896-A793-CDB703EC1B19}"/>
            </c:ext>
          </c:extLst>
        </c:ser>
        <c:ser>
          <c:idx val="6"/>
          <c:order val="5"/>
          <c:tx>
            <c:strRef>
              <c:f>'Tabla Resumen Prioritarias'!$A$34</c:f>
              <c:strCache>
                <c:ptCount val="1"/>
                <c:pt idx="0">
                  <c:v>3C4 Emisiones directas de los N2O de los suelos gestionados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Prioritarias'!$B$34:$F$34</c:f>
              <c:numCache>
                <c:formatCode>#,##0</c:formatCode>
                <c:ptCount val="5"/>
                <c:pt idx="0">
                  <c:v>1468.5754723803298</c:v>
                </c:pt>
                <c:pt idx="1">
                  <c:v>1510.8151927064257</c:v>
                </c:pt>
                <c:pt idx="2">
                  <c:v>1429.2472290641933</c:v>
                </c:pt>
                <c:pt idx="3">
                  <c:v>1618.9379021432314</c:v>
                </c:pt>
                <c:pt idx="4">
                  <c:v>1573.1736216455197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515-4896-A793-CDB703EC1B19}"/>
            </c:ext>
          </c:extLst>
        </c:ser>
        <c:ser>
          <c:idx val="7"/>
          <c:order val="6"/>
          <c:tx>
            <c:strRef>
              <c:f>'Tabla Resumen Prioritarias'!$A$35</c:f>
              <c:strCache>
                <c:ptCount val="1"/>
                <c:pt idx="0">
                  <c:v>1A4a y 1A4b Residencial/Comercial/institucional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Prioritarias'!$B$35:$F$35</c:f>
              <c:numCache>
                <c:formatCode>#,##0</c:formatCode>
                <c:ptCount val="5"/>
                <c:pt idx="0">
                  <c:v>1567.6103073821278</c:v>
                </c:pt>
                <c:pt idx="1">
                  <c:v>1393.8938718271511</c:v>
                </c:pt>
                <c:pt idx="2">
                  <c:v>1518.8761076499006</c:v>
                </c:pt>
                <c:pt idx="3">
                  <c:v>1506.3823539588132</c:v>
                </c:pt>
                <c:pt idx="4">
                  <c:v>1476.0839361568537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515-4896-A793-CDB703EC1B19}"/>
            </c:ext>
          </c:extLst>
        </c:ser>
        <c:ser>
          <c:idx val="8"/>
          <c:order val="7"/>
          <c:tx>
            <c:strRef>
              <c:f>'Tabla Resumen Prioritarias'!$A$36</c:f>
              <c:strCache>
                <c:ptCount val="1"/>
                <c:pt idx="0">
                  <c:v>4D1 Tratamiento y eliminación de aguas residuales domésticas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36363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Prioritarias'!$B$36:$F$36</c:f>
              <c:numCache>
                <c:formatCode>#,##0</c:formatCode>
                <c:ptCount val="5"/>
                <c:pt idx="0">
                  <c:v>741.77356206533875</c:v>
                </c:pt>
                <c:pt idx="1">
                  <c:v>748.67027959494419</c:v>
                </c:pt>
                <c:pt idx="2">
                  <c:v>750.89796241684405</c:v>
                </c:pt>
                <c:pt idx="3">
                  <c:v>745.33094712946661</c:v>
                </c:pt>
                <c:pt idx="4">
                  <c:v>742.93230375857343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515-4896-A793-CDB703EC1B19}"/>
            </c:ext>
          </c:extLst>
        </c:ser>
        <c:ser>
          <c:idx val="0"/>
          <c:order val="8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Prioritarias'!$F$29:$U$29</c:f>
              <c:numCache>
                <c:formatCode>#,##0</c:formatCode>
                <c:ptCount val="16"/>
                <c:pt idx="0">
                  <c:v>6128.9641910759028</c:v>
                </c:pt>
                <c:pt idx="1">
                  <c:v>6171.4914552248947</c:v>
                </c:pt>
                <c:pt idx="2">
                  <c:v>9639.3296586721845</c:v>
                </c:pt>
                <c:pt idx="3">
                  <c:v>9639.3296586721845</c:v>
                </c:pt>
                <c:pt idx="4">
                  <c:v>10097.1255753776</c:v>
                </c:pt>
                <c:pt idx="5">
                  <c:v>10103.800740889594</c:v>
                </c:pt>
                <c:pt idx="6">
                  <c:v>7461.9520400956835</c:v>
                </c:pt>
                <c:pt idx="7">
                  <c:v>7685.3547568277309</c:v>
                </c:pt>
                <c:pt idx="8">
                  <c:v>7685.3547568277309</c:v>
                </c:pt>
                <c:pt idx="9">
                  <c:v>7685.3547568277309</c:v>
                </c:pt>
                <c:pt idx="10">
                  <c:v>9390.78776916887</c:v>
                </c:pt>
                <c:pt idx="11">
                  <c:v>7823.1607744684397</c:v>
                </c:pt>
                <c:pt idx="12">
                  <c:v>7823.1607744684397</c:v>
                </c:pt>
                <c:pt idx="13">
                  <c:v>8202.1379132138882</c:v>
                </c:pt>
                <c:pt idx="14">
                  <c:v>8202.1379132138882</c:v>
                </c:pt>
                <c:pt idx="15">
                  <c:v>8202.1379132138882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15-4896-A793-CDB703EC1B19}"/>
            </c:ext>
          </c:extLst>
        </c:ser>
        <c:ser>
          <c:idx val="9"/>
          <c:order val="9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Prioritarias'!$F$30:$U$30</c:f>
              <c:numCache>
                <c:formatCode>#,##0</c:formatCode>
                <c:ptCount val="16"/>
                <c:pt idx="0">
                  <c:v>6862.8105370773601</c:v>
                </c:pt>
                <c:pt idx="1">
                  <c:v>6892.847978876358</c:v>
                </c:pt>
                <c:pt idx="2">
                  <c:v>6928.2063149709502</c:v>
                </c:pt>
                <c:pt idx="3">
                  <c:v>6980.41330879015</c:v>
                </c:pt>
                <c:pt idx="4">
                  <c:v>7048.9544975026729</c:v>
                </c:pt>
                <c:pt idx="5">
                  <c:v>7133.8441717427413</c:v>
                </c:pt>
                <c:pt idx="6">
                  <c:v>7234.8393907288919</c:v>
                </c:pt>
                <c:pt idx="7">
                  <c:v>7351.4828541666502</c:v>
                </c:pt>
                <c:pt idx="8">
                  <c:v>7484.58912820556</c:v>
                </c:pt>
                <c:pt idx="9">
                  <c:v>7633.7866563563657</c:v>
                </c:pt>
                <c:pt idx="10">
                  <c:v>7799.1468917900711</c:v>
                </c:pt>
                <c:pt idx="11">
                  <c:v>7980.7984502144973</c:v>
                </c:pt>
                <c:pt idx="12">
                  <c:v>8178.4983908481954</c:v>
                </c:pt>
                <c:pt idx="13">
                  <c:v>8392.9326641328953</c:v>
                </c:pt>
                <c:pt idx="14">
                  <c:v>8622.5684501058568</c:v>
                </c:pt>
                <c:pt idx="15">
                  <c:v>8868.8193480615591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15-4896-A793-CDB703EC1B19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Prioritarias'!$F$31:$U$31</c:f>
              <c:numCache>
                <c:formatCode>#,##0</c:formatCode>
                <c:ptCount val="16"/>
                <c:pt idx="0">
                  <c:v>4605.358367948681</c:v>
                </c:pt>
                <c:pt idx="1">
                  <c:v>4395.0792369798346</c:v>
                </c:pt>
                <c:pt idx="2">
                  <c:v>4526.1708016312668</c:v>
                </c:pt>
                <c:pt idx="3">
                  <c:v>4661.1724205493392</c:v>
                </c:pt>
                <c:pt idx="4">
                  <c:v>4800.2007185100847</c:v>
                </c:pt>
                <c:pt idx="5">
                  <c:v>4943.3757988444349</c:v>
                </c:pt>
                <c:pt idx="6">
                  <c:v>5090.8213471926956</c:v>
                </c:pt>
                <c:pt idx="7">
                  <c:v>5242.6647383537165</c:v>
                </c:pt>
                <c:pt idx="8">
                  <c:v>5399.0371463210322</c:v>
                </c:pt>
                <c:pt idx="9">
                  <c:v>5560.0736576010404</c:v>
                </c:pt>
                <c:pt idx="10">
                  <c:v>5725.9133879111123</c:v>
                </c:pt>
                <c:pt idx="11">
                  <c:v>5896.6996023584461</c:v>
                </c:pt>
                <c:pt idx="12">
                  <c:v>6072.5798392034685</c:v>
                </c:pt>
                <c:pt idx="13">
                  <c:v>6253.7060373147378</c:v>
                </c:pt>
                <c:pt idx="14">
                  <c:v>6440.2346674254077</c:v>
                </c:pt>
                <c:pt idx="15">
                  <c:v>6632.3268673046896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15-4896-A793-CDB703EC1B19}"/>
            </c:ext>
          </c:extLst>
        </c:ser>
        <c:ser>
          <c:idx val="11"/>
          <c:order val="11"/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Prioritarias'!$F$32:$U$32</c:f>
              <c:numCache>
                <c:formatCode>#,##0</c:formatCode>
                <c:ptCount val="16"/>
                <c:pt idx="0">
                  <c:v>3960.1264578540004</c:v>
                </c:pt>
                <c:pt idx="1">
                  <c:v>3891.035283821217</c:v>
                </c:pt>
                <c:pt idx="2">
                  <c:v>4007.0927826663496</c:v>
                </c:pt>
                <c:pt idx="3">
                  <c:v>4126.6119162836476</c:v>
                </c:pt>
                <c:pt idx="4">
                  <c:v>4249.6959344881989</c:v>
                </c:pt>
                <c:pt idx="5">
                  <c:v>4376.4511667164388</c:v>
                </c:pt>
                <c:pt idx="6">
                  <c:v>4506.9871138816798</c:v>
                </c:pt>
                <c:pt idx="7">
                  <c:v>4641.4165429694249</c:v>
                </c:pt>
                <c:pt idx="8">
                  <c:v>4779.8555844541515</c:v>
                </c:pt>
                <c:pt idx="9">
                  <c:v>4922.4238326217464</c:v>
                </c:pt>
                <c:pt idx="10">
                  <c:v>5069.2444488842439</c:v>
                </c:pt>
                <c:pt idx="11">
                  <c:v>5220.4442681761211</c:v>
                </c:pt>
                <c:pt idx="12">
                  <c:v>5376.1539085240574</c:v>
                </c:pt>
                <c:pt idx="13">
                  <c:v>5536.5078838848376</c:v>
                </c:pt>
                <c:pt idx="14">
                  <c:v>5701.644720348836</c:v>
                </c:pt>
                <c:pt idx="15">
                  <c:v>5871.7070758095169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515-4896-A793-CDB703EC1B19}"/>
            </c:ext>
          </c:extLst>
        </c:ser>
        <c:ser>
          <c:idx val="12"/>
          <c:order val="12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Prioritarias'!$F$33:$U$33</c:f>
              <c:numCache>
                <c:formatCode>#,##0</c:formatCode>
                <c:ptCount val="16"/>
                <c:pt idx="0">
                  <c:v>2147.0392392463536</c:v>
                </c:pt>
                <c:pt idx="1">
                  <c:v>2862.2280379094514</c:v>
                </c:pt>
                <c:pt idx="2">
                  <c:v>3064.1984596120678</c:v>
                </c:pt>
                <c:pt idx="3">
                  <c:v>3158.5142639960468</c:v>
                </c:pt>
                <c:pt idx="4">
                  <c:v>3233.210671955097</c:v>
                </c:pt>
                <c:pt idx="5">
                  <c:v>3308.4287244612424</c:v>
                </c:pt>
                <c:pt idx="6">
                  <c:v>3376.6782619449091</c:v>
                </c:pt>
                <c:pt idx="7">
                  <c:v>3450.5922030833153</c:v>
                </c:pt>
                <c:pt idx="8">
                  <c:v>3526.0710778630087</c:v>
                </c:pt>
                <c:pt idx="9">
                  <c:v>3608.2576453916317</c:v>
                </c:pt>
                <c:pt idx="10">
                  <c:v>3685.0406315390651</c:v>
                </c:pt>
                <c:pt idx="11">
                  <c:v>3761.8236176864975</c:v>
                </c:pt>
                <c:pt idx="12">
                  <c:v>3845.0534743093126</c:v>
                </c:pt>
                <c:pt idx="13">
                  <c:v>3922.3581050038401</c:v>
                </c:pt>
                <c:pt idx="14">
                  <c:v>4006.6312507208463</c:v>
                </c:pt>
                <c:pt idx="15">
                  <c:v>4085.2399927831134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515-4896-A793-CDB703EC1B19}"/>
            </c:ext>
          </c:extLst>
        </c:ser>
        <c:ser>
          <c:idx val="13"/>
          <c:order val="13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Prioritarias'!$F$34:$U$34</c:f>
              <c:numCache>
                <c:formatCode>#,##0</c:formatCode>
                <c:ptCount val="16"/>
                <c:pt idx="0">
                  <c:v>1573.1736216455197</c:v>
                </c:pt>
                <c:pt idx="1">
                  <c:v>1717.2559824965979</c:v>
                </c:pt>
                <c:pt idx="2">
                  <c:v>1805.8504003008115</c:v>
                </c:pt>
                <c:pt idx="3">
                  <c:v>1900.7825754664586</c:v>
                </c:pt>
                <c:pt idx="4">
                  <c:v>2003.1140087844019</c:v>
                </c:pt>
                <c:pt idx="5">
                  <c:v>2116.7566442705634</c:v>
                </c:pt>
                <c:pt idx="6">
                  <c:v>2247.7439564087877</c:v>
                </c:pt>
                <c:pt idx="7">
                  <c:v>2385.4115105649084</c:v>
                </c:pt>
                <c:pt idx="8">
                  <c:v>2536.2645623230283</c:v>
                </c:pt>
                <c:pt idx="9">
                  <c:v>2702.0884425631939</c:v>
                </c:pt>
                <c:pt idx="10">
                  <c:v>2884.8508681260214</c:v>
                </c:pt>
                <c:pt idx="11">
                  <c:v>3086.0826380294961</c:v>
                </c:pt>
                <c:pt idx="12">
                  <c:v>3306.298398066871</c:v>
                </c:pt>
                <c:pt idx="13">
                  <c:v>3548.6467602905827</c:v>
                </c:pt>
                <c:pt idx="14">
                  <c:v>3815.5197827540123</c:v>
                </c:pt>
                <c:pt idx="15">
                  <c:v>4109.4844731621324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515-4896-A793-CDB703EC1B19}"/>
            </c:ext>
          </c:extLst>
        </c:ser>
        <c:ser>
          <c:idx val="14"/>
          <c:order val="14"/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Prioritarias'!$F$35:$U$35</c:f>
              <c:numCache>
                <c:formatCode>#,##0</c:formatCode>
                <c:ptCount val="16"/>
                <c:pt idx="0">
                  <c:v>1476.0839361568537</c:v>
                </c:pt>
                <c:pt idx="1">
                  <c:v>1311.3508383644685</c:v>
                </c:pt>
                <c:pt idx="2">
                  <c:v>1539.0415136546208</c:v>
                </c:pt>
                <c:pt idx="3">
                  <c:v>1437.8084925126345</c:v>
                </c:pt>
                <c:pt idx="4">
                  <c:v>1441.4411710655506</c:v>
                </c:pt>
                <c:pt idx="5">
                  <c:v>1413.505699877353</c:v>
                </c:pt>
                <c:pt idx="6">
                  <c:v>1404.9646849090809</c:v>
                </c:pt>
                <c:pt idx="7">
                  <c:v>1364.1086136192673</c:v>
                </c:pt>
                <c:pt idx="8">
                  <c:v>1329.0096380191194</c:v>
                </c:pt>
                <c:pt idx="9">
                  <c:v>1317.4381456129145</c:v>
                </c:pt>
                <c:pt idx="10">
                  <c:v>1368.9047210583062</c:v>
                </c:pt>
                <c:pt idx="11">
                  <c:v>1352.0916855641071</c:v>
                </c:pt>
                <c:pt idx="12">
                  <c:v>1323.5077985535409</c:v>
                </c:pt>
                <c:pt idx="13">
                  <c:v>1332.1103578138768</c:v>
                </c:pt>
                <c:pt idx="14">
                  <c:v>1348.5184988489677</c:v>
                </c:pt>
                <c:pt idx="15">
                  <c:v>1336.9506949692372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515-4896-A793-CDB703EC1B19}"/>
            </c:ext>
          </c:extLst>
        </c:ser>
        <c:ser>
          <c:idx val="15"/>
          <c:order val="15"/>
          <c:spPr>
            <a:ln w="28575" cap="rnd">
              <a:solidFill>
                <a:srgbClr val="636363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Prioritarias'!$F$36:$U$36</c:f>
              <c:numCache>
                <c:formatCode>#,##0</c:formatCode>
                <c:ptCount val="16"/>
                <c:pt idx="0">
                  <c:v>742.93230375857343</c:v>
                </c:pt>
                <c:pt idx="1">
                  <c:v>745.61445626933096</c:v>
                </c:pt>
                <c:pt idx="2">
                  <c:v>745.51227136143007</c:v>
                </c:pt>
                <c:pt idx="3">
                  <c:v>745.41008645352929</c:v>
                </c:pt>
                <c:pt idx="4">
                  <c:v>745.30790154562851</c:v>
                </c:pt>
                <c:pt idx="5">
                  <c:v>745.20571663772762</c:v>
                </c:pt>
                <c:pt idx="6">
                  <c:v>745.10353172982684</c:v>
                </c:pt>
                <c:pt idx="7">
                  <c:v>745.00134682192595</c:v>
                </c:pt>
                <c:pt idx="8">
                  <c:v>744.89916191402517</c:v>
                </c:pt>
                <c:pt idx="9">
                  <c:v>744.79697700612428</c:v>
                </c:pt>
                <c:pt idx="10">
                  <c:v>744.6947920982235</c:v>
                </c:pt>
                <c:pt idx="11">
                  <c:v>744.59260719032272</c:v>
                </c:pt>
                <c:pt idx="12">
                  <c:v>744.49042228242183</c:v>
                </c:pt>
                <c:pt idx="13">
                  <c:v>744.38823737452105</c:v>
                </c:pt>
                <c:pt idx="14">
                  <c:v>744.28605246662028</c:v>
                </c:pt>
                <c:pt idx="15">
                  <c:v>744.18386755871938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515-4896-A793-CDB703EC1B19}"/>
            </c:ext>
          </c:extLst>
        </c:ser>
        <c:ser>
          <c:idx val="16"/>
          <c:order val="16"/>
          <c:tx>
            <c:strRef>
              <c:f>'Tabla Resumen Prioritarias'!$A$37</c:f>
              <c:strCache>
                <c:ptCount val="1"/>
                <c:pt idx="0">
                  <c:v>2A1 Producción de cemento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Prioritarias'!$B$37:$F$37</c:f>
              <c:numCache>
                <c:formatCode>#,##0</c:formatCode>
                <c:ptCount val="5"/>
                <c:pt idx="0">
                  <c:v>564.00324504978244</c:v>
                </c:pt>
                <c:pt idx="1">
                  <c:v>596.35701426014282</c:v>
                </c:pt>
                <c:pt idx="2">
                  <c:v>645.49640887027363</c:v>
                </c:pt>
                <c:pt idx="3">
                  <c:v>661.20134961005601</c:v>
                </c:pt>
                <c:pt idx="4">
                  <c:v>677.89834770951029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B2-45E7-956C-EFE6B442AB05}"/>
            </c:ext>
          </c:extLst>
        </c:ser>
        <c:ser>
          <c:idx val="17"/>
          <c:order val="17"/>
          <c:spPr>
            <a:ln w="28575" cap="rnd">
              <a:solidFill>
                <a:srgbClr val="7CAFDD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Prioritarias'!$F$37:$U$37</c:f>
              <c:numCache>
                <c:formatCode>#,##0</c:formatCode>
                <c:ptCount val="16"/>
                <c:pt idx="0">
                  <c:v>677.89834770951029</c:v>
                </c:pt>
                <c:pt idx="1">
                  <c:v>716.78163530076563</c:v>
                </c:pt>
                <c:pt idx="2">
                  <c:v>746.04508936769707</c:v>
                </c:pt>
                <c:pt idx="3">
                  <c:v>775.30854343463579</c:v>
                </c:pt>
                <c:pt idx="4">
                  <c:v>804.57199750157451</c:v>
                </c:pt>
                <c:pt idx="5">
                  <c:v>833.83545156851324</c:v>
                </c:pt>
                <c:pt idx="6">
                  <c:v>863.09890563544468</c:v>
                </c:pt>
                <c:pt idx="7">
                  <c:v>892.3623597023834</c:v>
                </c:pt>
                <c:pt idx="8">
                  <c:v>921.62581376932212</c:v>
                </c:pt>
                <c:pt idx="9">
                  <c:v>950.88926783626084</c:v>
                </c:pt>
                <c:pt idx="10">
                  <c:v>980.15272190319229</c:v>
                </c:pt>
                <c:pt idx="11">
                  <c:v>1009.416175970131</c:v>
                </c:pt>
                <c:pt idx="12">
                  <c:v>1038.6796300370697</c:v>
                </c:pt>
                <c:pt idx="13">
                  <c:v>1067.9430841040084</c:v>
                </c:pt>
                <c:pt idx="14">
                  <c:v>1097.2065381709399</c:v>
                </c:pt>
                <c:pt idx="15">
                  <c:v>1126.4699922378786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B2-45E7-956C-EFE6B442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345440"/>
        <c:axId val="412345112"/>
      </c:scatterChart>
      <c:valAx>
        <c:axId val="412345440"/>
        <c:scaling>
          <c:orientation val="minMax"/>
          <c:max val="2032"/>
          <c:min val="20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2345112"/>
        <c:crosses val="autoZero"/>
        <c:crossBetween val="midCat"/>
        <c:majorUnit val="1"/>
        <c:minorUnit val="0.5"/>
      </c:valAx>
      <c:valAx>
        <c:axId val="41234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Emisiones por sector (Gg CO</a:t>
                </a:r>
                <a:r>
                  <a:rPr lang="en-US" sz="1400" baseline="-25000"/>
                  <a:t>2</a:t>
                </a:r>
                <a:r>
                  <a:rPr lang="en-US" sz="1400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2345440"/>
        <c:crosses val="autoZero"/>
        <c:crossBetween val="midCat"/>
        <c:majorUnit val="2000"/>
        <c:minorUnit val="1000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9.1995240402812078E-3"/>
          <c:y val="0.83740581670752279"/>
          <c:w val="0.98678036265770386"/>
          <c:h val="0.11243013122903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'Bases de proyeccion 1A1a'!$B$28:$U$28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'Bases de proyeccion 1A1a'!$B$29:$U$29</c:f>
              <c:numCache>
                <c:formatCode>#,##0</c:formatCode>
                <c:ptCount val="20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6171.4914552248947</c:v>
                </c:pt>
                <c:pt idx="6">
                  <c:v>9639.3296586721845</c:v>
                </c:pt>
                <c:pt idx="7">
                  <c:v>9639.3296586721845</c:v>
                </c:pt>
                <c:pt idx="8">
                  <c:v>10097.1255753776</c:v>
                </c:pt>
                <c:pt idx="9">
                  <c:v>10103.800740889594</c:v>
                </c:pt>
                <c:pt idx="10">
                  <c:v>7461.9520400956835</c:v>
                </c:pt>
                <c:pt idx="11">
                  <c:v>7685.3547568277309</c:v>
                </c:pt>
                <c:pt idx="12">
                  <c:v>7685.3547568277309</c:v>
                </c:pt>
                <c:pt idx="13">
                  <c:v>7685.3547568277309</c:v>
                </c:pt>
                <c:pt idx="14">
                  <c:v>9390.78776916887</c:v>
                </c:pt>
                <c:pt idx="15">
                  <c:v>7823.1607744684397</c:v>
                </c:pt>
                <c:pt idx="16">
                  <c:v>7823.1607744684397</c:v>
                </c:pt>
                <c:pt idx="17">
                  <c:v>8202.1379132138882</c:v>
                </c:pt>
                <c:pt idx="18">
                  <c:v>8202.1379132138882</c:v>
                </c:pt>
                <c:pt idx="19">
                  <c:v>8202.1379132138882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8E-424E-BD75-37F1B5E1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002904"/>
        <c:axId val="602001264"/>
      </c:scatterChart>
      <c:valAx>
        <c:axId val="60200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02001264"/>
        <c:crosses val="autoZero"/>
        <c:crossBetween val="midCat"/>
      </c:valAx>
      <c:valAx>
        <c:axId val="60200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02002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</xdr:colOff>
      <xdr:row>100</xdr:row>
      <xdr:rowOff>117703</xdr:rowOff>
    </xdr:from>
    <xdr:to>
      <xdr:col>8</xdr:col>
      <xdr:colOff>2721</xdr:colOff>
      <xdr:row>119</xdr:row>
      <xdr:rowOff>130628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CF9166-F90E-4339-9ADD-EDFF27802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544286</xdr:colOff>
      <xdr:row>100</xdr:row>
      <xdr:rowOff>130629</xdr:rowOff>
    </xdr:from>
    <xdr:to>
      <xdr:col>16</xdr:col>
      <xdr:colOff>330943</xdr:colOff>
      <xdr:row>119</xdr:row>
      <xdr:rowOff>142543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B23963-C232-4F19-85A1-A595E8FC2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0.54663</cdr:x>
      <cdr:y>0.29732</cdr:y>
    </cdr:from>
    <cdr:to>
      <cdr:x>0.63784</cdr:x>
      <cdr:y>0.35525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3361185" y="1079989"/>
          <a:ext cx="560840" cy="21042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0.48721</cdr:x>
      <cdr:y>0.48876</cdr:y>
    </cdr:from>
    <cdr:to>
      <cdr:x>0.57842</cdr:x>
      <cdr:y>0.54669</cdr:y>
    </cdr:to>
    <cdr:sp macro="" textlink="">
      <cdr:nvSpPr>
        <cdr:cNvPr id="4" name="Arrow: Right 3">
          <a:extLst xmlns:a="http://schemas.openxmlformats.org/drawingml/2006/main">
            <a:ext uri="{FF2B5EF4-FFF2-40B4-BE49-F238E27FC236}">
              <a16:creationId xmlns:a16="http://schemas.microsoft.com/office/drawing/2014/main" id="{E1AC3A99-B94F-4063-A41D-6ED4AD4007CE}"/>
            </a:ext>
          </a:extLst>
        </cdr:cNvPr>
        <cdr:cNvSpPr/>
      </cdr:nvSpPr>
      <cdr:spPr>
        <a:xfrm xmlns:a="http://schemas.openxmlformats.org/drawingml/2006/main" flipH="1">
          <a:off x="2995819" y="1775380"/>
          <a:ext cx="560840" cy="21042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0.39889</cdr:x>
      <cdr:y>0.25808</cdr:y>
    </cdr:from>
    <cdr:to>
      <cdr:x>0.4901</cdr:x>
      <cdr:y>0.31601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2515903" y="910492"/>
          <a:ext cx="575279" cy="204377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0.39944</cdr:x>
      <cdr:y>0.65345</cdr:y>
    </cdr:from>
    <cdr:to>
      <cdr:x>0.49065</cdr:x>
      <cdr:y>0.71138</cdr:y>
    </cdr:to>
    <cdr:sp macro="" textlink="">
      <cdr:nvSpPr>
        <cdr:cNvPr id="5" name="Arrow: Right 4">
          <a:extLst xmlns:a="http://schemas.openxmlformats.org/drawingml/2006/main">
            <a:ext uri="{FF2B5EF4-FFF2-40B4-BE49-F238E27FC236}">
              <a16:creationId xmlns:a16="http://schemas.microsoft.com/office/drawing/2014/main" id="{38D2DC16-1B51-4ACA-BE16-5462141AA77A}"/>
            </a:ext>
          </a:extLst>
        </cdr:cNvPr>
        <cdr:cNvSpPr/>
      </cdr:nvSpPr>
      <cdr:spPr>
        <a:xfrm xmlns:a="http://schemas.openxmlformats.org/drawingml/2006/main" flipH="1">
          <a:off x="2301823" y="2305372"/>
          <a:ext cx="525609" cy="204377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560293</xdr:colOff>
      <xdr:row>7</xdr:row>
      <xdr:rowOff>143435</xdr:rowOff>
    </xdr:from>
    <xdr:to>
      <xdr:col>13</xdr:col>
      <xdr:colOff>188258</xdr:colOff>
      <xdr:row>24</xdr:row>
      <xdr:rowOff>17929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E19977-1140-47E4-9EFA-23AF0CE29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131482</xdr:colOff>
      <xdr:row>40</xdr:row>
      <xdr:rowOff>11952</xdr:rowOff>
    </xdr:from>
    <xdr:to>
      <xdr:col>21</xdr:col>
      <xdr:colOff>3575</xdr:colOff>
      <xdr:row>70</xdr:row>
      <xdr:rowOff>157628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6F2AFD-78EA-4628-9E60-0FE053ED6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304799</xdr:colOff>
      <xdr:row>9</xdr:row>
      <xdr:rowOff>87086</xdr:rowOff>
    </xdr:from>
    <xdr:to>
      <xdr:col>14</xdr:col>
      <xdr:colOff>609599</xdr:colOff>
      <xdr:row>24</xdr:row>
      <xdr:rowOff>54429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9D75FA-8305-4CD4-8DBD-DF1FFA92E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8CB8-7E17-4C2F-9DEA-7F8A71CC076A}">
  <sheetPr codeName="Sheet1"/>
  <dimension ref="A2:Z152"/>
  <sheetViews>
    <sheetView topLeftCell="A104" zoomScaleNormal="100" workbookViewId="0">
      <selection activeCell="B122" sqref="B122"/>
    </sheetView>
  </sheetViews>
  <sheetFormatPr baseColWidth="10" defaultColWidth="11.42578125" defaultRowHeight="15" x14ac:dyDescent="0.25"/>
  <cols>
    <col min="1" max="1" width="12.28515625" style="3" customWidth="1"/>
    <col min="2" max="4" width="11.42578125" style="3"/>
    <col min="5" max="5" width="19.5703125" style="3" customWidth="1"/>
    <col min="6" max="8" width="12.85546875" style="3" bestFit="1" customWidth="1"/>
    <col min="9" max="9" width="13" style="3" customWidth="1"/>
    <col min="10" max="11" width="11.42578125" style="3"/>
    <col min="12" max="12" width="13.5703125" style="3" bestFit="1" customWidth="1"/>
    <col min="13" max="16384" width="11.42578125" style="3"/>
  </cols>
  <sheetData>
    <row r="2" spans="1:26" ht="18.75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26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</row>
    <row r="4" spans="1:26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</row>
    <row r="5" spans="1:26" x14ac:dyDescent="0.25">
      <c r="A5" s="1"/>
      <c r="B5" s="5" t="s">
        <v>3</v>
      </c>
      <c r="C5" s="1"/>
      <c r="D5" s="1"/>
      <c r="E5" s="1"/>
      <c r="F5" s="1"/>
      <c r="G5" s="1"/>
      <c r="H5" s="1"/>
      <c r="I5" s="1"/>
      <c r="J5" s="1"/>
    </row>
    <row r="6" spans="1:26" x14ac:dyDescent="0.25">
      <c r="A6" s="1"/>
      <c r="B6" s="5" t="s">
        <v>4</v>
      </c>
      <c r="C6" s="1"/>
      <c r="D6" s="1"/>
      <c r="E6" s="1"/>
      <c r="F6" s="1"/>
      <c r="G6" s="1"/>
      <c r="H6" s="1"/>
      <c r="I6" s="1"/>
      <c r="J6" s="1"/>
    </row>
    <row r="7" spans="1:26" x14ac:dyDescent="0.25">
      <c r="A7" s="1"/>
      <c r="B7" s="5" t="s">
        <v>5</v>
      </c>
      <c r="C7" s="1"/>
      <c r="D7" s="1"/>
      <c r="E7" s="1"/>
      <c r="F7" s="1"/>
      <c r="G7" s="1"/>
      <c r="H7" s="1"/>
      <c r="I7" s="1"/>
      <c r="J7" s="1"/>
    </row>
    <row r="8" spans="1:26" x14ac:dyDescent="0.25">
      <c r="A8" s="1"/>
      <c r="B8" s="6" t="s">
        <v>6</v>
      </c>
      <c r="C8" s="1"/>
      <c r="D8" s="1"/>
      <c r="E8" s="1"/>
      <c r="F8" s="1"/>
      <c r="G8" s="1"/>
      <c r="H8" s="1"/>
      <c r="I8" s="1"/>
      <c r="J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26" ht="18.75" x14ac:dyDescent="0.35">
      <c r="A10" s="7" t="s">
        <v>7</v>
      </c>
      <c r="C10" s="8"/>
      <c r="D10" s="8"/>
      <c r="E10" s="8"/>
      <c r="F10" s="8"/>
      <c r="G10" s="8"/>
      <c r="H10" s="8"/>
      <c r="I10" s="1"/>
      <c r="J10" s="1"/>
    </row>
    <row r="11" spans="1:26" x14ac:dyDescent="0.25">
      <c r="A11" s="9" t="s">
        <v>8</v>
      </c>
      <c r="C11" s="8"/>
      <c r="D11" s="8"/>
      <c r="E11" s="8"/>
      <c r="F11" s="8"/>
      <c r="G11" s="8"/>
      <c r="H11" s="8"/>
      <c r="I11" s="1"/>
      <c r="J11" s="1"/>
    </row>
    <row r="12" spans="1:26" x14ac:dyDescent="0.25">
      <c r="A12" s="1"/>
      <c r="B12" s="9"/>
      <c r="C12" s="8"/>
      <c r="D12" s="8"/>
      <c r="E12" s="8"/>
      <c r="F12" s="8"/>
      <c r="G12" s="8"/>
      <c r="H12" s="8"/>
      <c r="I12" s="1"/>
      <c r="J12" s="1"/>
    </row>
    <row r="13" spans="1:26" ht="15.75" customHeight="1" x14ac:dyDescent="0.25">
      <c r="A13" s="10" t="s">
        <v>9</v>
      </c>
      <c r="B13" s="10"/>
      <c r="C13" s="10"/>
      <c r="D13" s="10"/>
      <c r="E13" s="10"/>
      <c r="F13" s="10"/>
      <c r="G13" s="11">
        <v>2013</v>
      </c>
      <c r="H13" s="11">
        <v>2014</v>
      </c>
      <c r="I13" s="11">
        <v>2015</v>
      </c>
      <c r="J13" s="111">
        <v>2016</v>
      </c>
      <c r="K13" s="117">
        <v>2017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5.75" customHeight="1" x14ac:dyDescent="0.25">
      <c r="A14" s="148" t="s">
        <v>86</v>
      </c>
      <c r="B14" s="149"/>
      <c r="C14" s="149"/>
      <c r="D14" s="149"/>
      <c r="E14" s="149"/>
      <c r="F14" s="150"/>
      <c r="G14" s="12">
        <f>G16+G30+G37+G69+G79</f>
        <v>29717.490613996521</v>
      </c>
      <c r="H14" s="12">
        <f>H16+H30+H37+H69+H79</f>
        <v>29893.679334214514</v>
      </c>
      <c r="I14" s="12">
        <f>I16+I30+I37+I69+I79</f>
        <v>29879.72682345628</v>
      </c>
      <c r="J14" s="112">
        <f>J16+J30+J37+J69+J79</f>
        <v>30652.015083478462</v>
      </c>
      <c r="K14" s="12">
        <f>K16+K30+K37+K69+K79</f>
        <v>31008.664334096931</v>
      </c>
      <c r="L14" s="114"/>
      <c r="M14" s="114" t="s">
        <v>239</v>
      </c>
      <c r="N14" s="114"/>
      <c r="O14" s="114"/>
      <c r="P14" s="114"/>
      <c r="Q14" s="114"/>
      <c r="R14" s="114"/>
      <c r="S14" s="114"/>
      <c r="T14" s="115"/>
      <c r="U14" s="115"/>
      <c r="V14" s="115"/>
      <c r="W14" s="115"/>
      <c r="X14" s="115"/>
      <c r="Y14" s="115"/>
      <c r="Z14" s="115"/>
    </row>
    <row r="15" spans="1:26" ht="18.75" x14ac:dyDescent="0.25">
      <c r="A15" s="148" t="s">
        <v>11</v>
      </c>
      <c r="B15" s="149"/>
      <c r="C15" s="149"/>
      <c r="D15" s="149"/>
      <c r="E15" s="149"/>
      <c r="F15" s="150"/>
      <c r="G15" s="12">
        <f>G16+G30+G36+G79</f>
        <v>16975.803371583472</v>
      </c>
      <c r="H15" s="12">
        <f>H16+H30+H36+H79</f>
        <v>17151.992091801469</v>
      </c>
      <c r="I15" s="12">
        <f>I16+I30+I36+I79</f>
        <v>17138.039581043235</v>
      </c>
      <c r="J15" s="112">
        <f>J16+J30+J36+J79</f>
        <v>17910.327841065417</v>
      </c>
      <c r="K15" s="12">
        <f>K16+K30+K36+K79</f>
        <v>18266.97709168389</v>
      </c>
      <c r="L15" s="114"/>
      <c r="M15" s="114"/>
      <c r="N15" s="114"/>
      <c r="O15" s="114"/>
      <c r="P15" s="114"/>
      <c r="Q15" s="114"/>
      <c r="R15" s="114"/>
      <c r="S15" s="114"/>
      <c r="T15" s="116"/>
      <c r="U15" s="116"/>
      <c r="V15" s="116"/>
      <c r="W15" s="116"/>
      <c r="X15" s="116"/>
      <c r="Y15" s="115"/>
      <c r="Z15" s="115"/>
    </row>
    <row r="16" spans="1:26" ht="15.75" x14ac:dyDescent="0.25">
      <c r="A16" s="13" t="s">
        <v>12</v>
      </c>
      <c r="B16" s="13"/>
      <c r="C16" s="13"/>
      <c r="D16" s="13"/>
      <c r="E16" s="13"/>
      <c r="F16" s="13"/>
      <c r="G16" s="14">
        <f>G17+G27</f>
        <v>17727.115598054977</v>
      </c>
      <c r="H16" s="14">
        <f>H17+H27</f>
        <v>17731.084848380782</v>
      </c>
      <c r="I16" s="14">
        <f>I17+I27</f>
        <v>17514.147654160588</v>
      </c>
      <c r="J16" s="14">
        <f>J17+J27</f>
        <v>16880.338448097162</v>
      </c>
      <c r="K16" s="14">
        <f>K17+K27</f>
        <v>16866.399815652218</v>
      </c>
    </row>
    <row r="17" spans="1:11" x14ac:dyDescent="0.25">
      <c r="A17" s="151" t="s">
        <v>13</v>
      </c>
      <c r="B17" s="151"/>
      <c r="C17" s="151"/>
      <c r="D17" s="151"/>
      <c r="E17" s="151"/>
      <c r="F17" s="151"/>
      <c r="G17" s="15">
        <f>G18+G20+G21+G25</f>
        <v>17484.639004548393</v>
      </c>
      <c r="H17" s="15">
        <f>H18+H20+H21+H25</f>
        <v>17365.201101042217</v>
      </c>
      <c r="I17" s="15">
        <f>I18+I20+I21+I25</f>
        <v>16829.769137826588</v>
      </c>
      <c r="J17" s="15">
        <f>J18+J20+J21+J25</f>
        <v>16880.338448097162</v>
      </c>
      <c r="K17" s="15">
        <f>K18+K20+K21+K25</f>
        <v>16866.399815652218</v>
      </c>
    </row>
    <row r="18" spans="1:11" x14ac:dyDescent="0.25">
      <c r="A18" s="147" t="s">
        <v>14</v>
      </c>
      <c r="B18" s="147"/>
      <c r="C18" s="147"/>
      <c r="D18" s="147"/>
      <c r="E18" s="147"/>
      <c r="F18" s="147"/>
      <c r="G18" s="16">
        <f>G19</f>
        <v>7455.9975583291443</v>
      </c>
      <c r="H18" s="16">
        <f t="shared" ref="H18:K18" si="0">H19</f>
        <v>7571.1309101920633</v>
      </c>
      <c r="I18" s="16">
        <f t="shared" si="0"/>
        <v>6802.5087638073956</v>
      </c>
      <c r="J18" s="16">
        <f t="shared" si="0"/>
        <v>6138.4415293878492</v>
      </c>
      <c r="K18" s="16">
        <f t="shared" si="0"/>
        <v>6128.9641910759028</v>
      </c>
    </row>
    <row r="19" spans="1:11" x14ac:dyDescent="0.25">
      <c r="A19" s="154" t="s">
        <v>15</v>
      </c>
      <c r="B19" s="154"/>
      <c r="C19" s="154"/>
      <c r="D19" s="154"/>
      <c r="E19" s="154"/>
      <c r="F19" s="154"/>
      <c r="G19" s="17">
        <v>7455.9975583291443</v>
      </c>
      <c r="H19" s="17">
        <v>7571.1309101920633</v>
      </c>
      <c r="I19" s="17">
        <v>6802.5087638073956</v>
      </c>
      <c r="J19" s="17">
        <v>6138.4415293878492</v>
      </c>
      <c r="K19" s="17">
        <v>6128.9641910759028</v>
      </c>
    </row>
    <row r="20" spans="1:11" x14ac:dyDescent="0.25">
      <c r="A20" s="147" t="s">
        <v>16</v>
      </c>
      <c r="B20" s="147"/>
      <c r="C20" s="147"/>
      <c r="D20" s="147"/>
      <c r="E20" s="147"/>
      <c r="F20" s="147"/>
      <c r="G20" s="16">
        <v>1830.1041703016547</v>
      </c>
      <c r="H20" s="16">
        <v>1814.4799327099774</v>
      </c>
      <c r="I20" s="16">
        <v>1435.0260239346042</v>
      </c>
      <c r="J20" s="16">
        <v>1993.2791637428973</v>
      </c>
      <c r="K20" s="16">
        <v>2147.0392392463536</v>
      </c>
    </row>
    <row r="21" spans="1:11" x14ac:dyDescent="0.25">
      <c r="A21" s="147" t="s">
        <v>17</v>
      </c>
      <c r="B21" s="147"/>
      <c r="C21" s="147"/>
      <c r="D21" s="147"/>
      <c r="E21" s="147"/>
      <c r="F21" s="147"/>
      <c r="G21" s="16">
        <f>SUM(G22:G24)</f>
        <v>6630.9269685354639</v>
      </c>
      <c r="H21" s="16">
        <f>SUM(H22:H24)</f>
        <v>6585.6963863130259</v>
      </c>
      <c r="I21" s="16">
        <f>SUM(I22:I24)</f>
        <v>7073.3582424346905</v>
      </c>
      <c r="J21" s="16">
        <f>SUM(J22:J24)</f>
        <v>7242.2354010076042</v>
      </c>
      <c r="K21" s="16">
        <f>SUM(K22:K24)</f>
        <v>7114.3124491731069</v>
      </c>
    </row>
    <row r="22" spans="1:11" x14ac:dyDescent="0.25">
      <c r="A22" s="154" t="s">
        <v>18</v>
      </c>
      <c r="B22" s="154"/>
      <c r="C22" s="154"/>
      <c r="D22" s="154"/>
      <c r="E22" s="154"/>
      <c r="F22" s="154"/>
      <c r="G22" s="17">
        <f>122413.761321331/1000</f>
        <v>122.41376132133099</v>
      </c>
      <c r="H22" s="17">
        <f>131235.096589714/1000</f>
        <v>131.235096589714</v>
      </c>
      <c r="I22" s="17">
        <f>140056.431858098/1000</f>
        <v>140.05643185809799</v>
      </c>
      <c r="J22" s="17">
        <f>148877.767126481/1000</f>
        <v>148.87776712648099</v>
      </c>
      <c r="K22" s="17">
        <f>157699.102394864/1000</f>
        <v>157.69910239486398</v>
      </c>
    </row>
    <row r="23" spans="1:11" x14ac:dyDescent="0.25">
      <c r="A23" s="154" t="s">
        <v>19</v>
      </c>
      <c r="B23" s="154"/>
      <c r="C23" s="154"/>
      <c r="D23" s="154"/>
      <c r="E23" s="154"/>
      <c r="F23" s="154"/>
      <c r="G23" s="17">
        <f>6429377.25684211/1000</f>
        <v>6429.37725684211</v>
      </c>
      <c r="H23" s="17">
        <f>6364909.90976585/1000</f>
        <v>6364.90990976585</v>
      </c>
      <c r="I23" s="17">
        <f>6824498.84192026/1000</f>
        <v>6824.49884192026</v>
      </c>
      <c r="J23" s="17">
        <f>6985501.96879434/1000</f>
        <v>6985.5019687943404</v>
      </c>
      <c r="K23" s="17">
        <f>6862810.53707736/1000</f>
        <v>6862.8105370773601</v>
      </c>
    </row>
    <row r="24" spans="1:11" x14ac:dyDescent="0.25">
      <c r="A24" s="154" t="s">
        <v>20</v>
      </c>
      <c r="B24" s="154"/>
      <c r="C24" s="154"/>
      <c r="D24" s="154"/>
      <c r="E24" s="154"/>
      <c r="F24" s="154"/>
      <c r="G24" s="17">
        <f>79135.9503720233/1000</f>
        <v>79.135950372023302</v>
      </c>
      <c r="H24" s="17">
        <f>89551.379957462/1000</f>
        <v>89.551379957462004</v>
      </c>
      <c r="I24" s="17">
        <f>108802.968656332/1000</f>
        <v>108.802968656332</v>
      </c>
      <c r="J24" s="17">
        <f>107855.665086783/1000</f>
        <v>107.85566508678301</v>
      </c>
      <c r="K24" s="17">
        <f>93802.8097008825/1000</f>
        <v>93.802809700882506</v>
      </c>
    </row>
    <row r="25" spans="1:11" x14ac:dyDescent="0.25">
      <c r="A25" s="147" t="s">
        <v>21</v>
      </c>
      <c r="B25" s="147"/>
      <c r="C25" s="147"/>
      <c r="D25" s="147"/>
      <c r="E25" s="147"/>
      <c r="F25" s="147"/>
      <c r="G25" s="16">
        <f>SUM(G26:G26)</f>
        <v>1567.6103073821278</v>
      </c>
      <c r="H25" s="16">
        <f>SUM(H26:H26)</f>
        <v>1393.8938718271511</v>
      </c>
      <c r="I25" s="16">
        <f>SUM(I26:I26)</f>
        <v>1518.8761076499006</v>
      </c>
      <c r="J25" s="16">
        <f>SUM(J26:J26)</f>
        <v>1506.3823539588132</v>
      </c>
      <c r="K25" s="16">
        <f>SUM(K26:K26)</f>
        <v>1476.0839361568537</v>
      </c>
    </row>
    <row r="26" spans="1:11" x14ac:dyDescent="0.25">
      <c r="A26" s="154" t="s">
        <v>22</v>
      </c>
      <c r="B26" s="154"/>
      <c r="C26" s="154"/>
      <c r="D26" s="154"/>
      <c r="E26" s="154"/>
      <c r="F26" s="154"/>
      <c r="G26" s="17">
        <v>1567.6103073821278</v>
      </c>
      <c r="H26" s="17">
        <v>1393.8938718271511</v>
      </c>
      <c r="I26" s="17">
        <v>1518.8761076499006</v>
      </c>
      <c r="J26" s="17">
        <v>1506.3823539588132</v>
      </c>
      <c r="K26" s="17">
        <v>1476.0839361568537</v>
      </c>
    </row>
    <row r="27" spans="1:11" x14ac:dyDescent="0.25">
      <c r="A27" s="151" t="s">
        <v>23</v>
      </c>
      <c r="B27" s="151"/>
      <c r="C27" s="151"/>
      <c r="D27" s="151"/>
      <c r="E27" s="151"/>
      <c r="F27" s="151"/>
      <c r="G27" s="15">
        <f>G28</f>
        <v>242.47659350658463</v>
      </c>
      <c r="H27" s="15">
        <f t="shared" ref="H27:K27" si="1">H28</f>
        <v>365.88374733856438</v>
      </c>
      <c r="I27" s="15">
        <f t="shared" si="1"/>
        <v>684.37851633399862</v>
      </c>
      <c r="J27" s="15">
        <f t="shared" si="1"/>
        <v>0</v>
      </c>
      <c r="K27" s="15">
        <f t="shared" si="1"/>
        <v>0</v>
      </c>
    </row>
    <row r="28" spans="1:11" x14ac:dyDescent="0.25">
      <c r="A28" s="147" t="s">
        <v>24</v>
      </c>
      <c r="B28" s="147"/>
      <c r="C28" s="147"/>
      <c r="D28" s="147"/>
      <c r="E28" s="147"/>
      <c r="F28" s="147"/>
      <c r="G28" s="16">
        <f>SUM(G29:G29)</f>
        <v>242.47659350658463</v>
      </c>
      <c r="H28" s="16">
        <f>SUM(H29:H29)</f>
        <v>365.88374733856438</v>
      </c>
      <c r="I28" s="16">
        <f>SUM(I29:I29)</f>
        <v>684.37851633399862</v>
      </c>
      <c r="J28" s="16">
        <f>SUM(J29:J29)</f>
        <v>0</v>
      </c>
      <c r="K28" s="16">
        <f>SUM(K29:K29)</f>
        <v>0</v>
      </c>
    </row>
    <row r="29" spans="1:11" x14ac:dyDescent="0.25">
      <c r="A29" s="154" t="s">
        <v>25</v>
      </c>
      <c r="B29" s="154"/>
      <c r="C29" s="154"/>
      <c r="D29" s="154"/>
      <c r="E29" s="154"/>
      <c r="F29" s="154"/>
      <c r="G29" s="17">
        <v>242.47659350658463</v>
      </c>
      <c r="H29" s="17">
        <v>365.88374733856438</v>
      </c>
      <c r="I29" s="17">
        <v>684.37851633399862</v>
      </c>
      <c r="J29" s="17">
        <v>0</v>
      </c>
      <c r="K29" s="17">
        <v>0</v>
      </c>
    </row>
    <row r="30" spans="1:11" ht="15.75" x14ac:dyDescent="0.25">
      <c r="A30" s="152" t="s">
        <v>26</v>
      </c>
      <c r="B30" s="152"/>
      <c r="C30" s="152"/>
      <c r="D30" s="152"/>
      <c r="E30" s="152"/>
      <c r="F30" s="153"/>
      <c r="G30" s="14">
        <f>G31+G33</f>
        <v>808.32280504978246</v>
      </c>
      <c r="H30" s="14">
        <f>H31+H33</f>
        <v>832.25477426014277</v>
      </c>
      <c r="I30" s="14">
        <f>I31+I33</f>
        <v>845.34740887027363</v>
      </c>
      <c r="J30" s="14">
        <f>J31+J33</f>
        <v>886.90262961005601</v>
      </c>
      <c r="K30" s="14">
        <f>K31+K33</f>
        <v>869.53874770951029</v>
      </c>
    </row>
    <row r="31" spans="1:11" x14ac:dyDescent="0.25">
      <c r="A31" s="151" t="s">
        <v>27</v>
      </c>
      <c r="B31" s="151"/>
      <c r="C31" s="151"/>
      <c r="D31" s="151"/>
      <c r="E31" s="151"/>
      <c r="F31" s="151"/>
      <c r="G31" s="15">
        <f>G32</f>
        <v>564.00324504978244</v>
      </c>
      <c r="H31" s="15">
        <f t="shared" ref="H31:K31" si="2">H32</f>
        <v>596.35701426014282</v>
      </c>
      <c r="I31" s="15">
        <f t="shared" si="2"/>
        <v>645.49640887027363</v>
      </c>
      <c r="J31" s="15">
        <f t="shared" si="2"/>
        <v>661.20134961005601</v>
      </c>
      <c r="K31" s="15">
        <f t="shared" si="2"/>
        <v>677.89834770951029</v>
      </c>
    </row>
    <row r="32" spans="1:11" x14ac:dyDescent="0.25">
      <c r="A32" s="147" t="s">
        <v>28</v>
      </c>
      <c r="B32" s="147"/>
      <c r="C32" s="147"/>
      <c r="D32" s="147"/>
      <c r="E32" s="147"/>
      <c r="F32" s="147"/>
      <c r="G32" s="16">
        <v>564.00324504978244</v>
      </c>
      <c r="H32" s="16">
        <v>596.35701426014282</v>
      </c>
      <c r="I32" s="16">
        <v>645.49640887027363</v>
      </c>
      <c r="J32" s="16">
        <v>661.20134961005601</v>
      </c>
      <c r="K32" s="16">
        <v>677.89834770951029</v>
      </c>
    </row>
    <row r="33" spans="1:19" x14ac:dyDescent="0.25">
      <c r="A33" s="151" t="s">
        <v>29</v>
      </c>
      <c r="B33" s="151"/>
      <c r="C33" s="151"/>
      <c r="D33" s="151"/>
      <c r="E33" s="151"/>
      <c r="F33" s="151"/>
      <c r="G33" s="15">
        <f>G34+G35</f>
        <v>244.31956</v>
      </c>
      <c r="H33" s="15">
        <f t="shared" ref="H33:K33" si="3">H34+H35</f>
        <v>235.89776000000001</v>
      </c>
      <c r="I33" s="15">
        <f t="shared" si="3"/>
        <v>199.851</v>
      </c>
      <c r="J33" s="15">
        <f t="shared" si="3"/>
        <v>225.70128</v>
      </c>
      <c r="K33" s="15">
        <f t="shared" si="3"/>
        <v>191.6404</v>
      </c>
    </row>
    <row r="34" spans="1:19" x14ac:dyDescent="0.25">
      <c r="A34" s="147" t="s">
        <v>30</v>
      </c>
      <c r="B34" s="147"/>
      <c r="C34" s="147"/>
      <c r="D34" s="147"/>
      <c r="E34" s="147"/>
      <c r="F34" s="147"/>
      <c r="G34" s="16">
        <v>29.550039999999999</v>
      </c>
      <c r="H34" s="16">
        <v>28.880280000000003</v>
      </c>
      <c r="I34" s="16">
        <v>19.507280000000002</v>
      </c>
      <c r="J34" s="16">
        <v>22.197760000000002</v>
      </c>
      <c r="K34" s="16">
        <v>18.768360000000001</v>
      </c>
    </row>
    <row r="35" spans="1:19" x14ac:dyDescent="0.25">
      <c r="A35" s="147" t="s">
        <v>31</v>
      </c>
      <c r="B35" s="147"/>
      <c r="C35" s="147"/>
      <c r="D35" s="147"/>
      <c r="E35" s="147"/>
      <c r="F35" s="147"/>
      <c r="G35" s="16">
        <v>214.76952</v>
      </c>
      <c r="H35" s="16">
        <v>207.01748000000001</v>
      </c>
      <c r="I35" s="16">
        <v>180.34371999999999</v>
      </c>
      <c r="J35" s="16">
        <v>203.50351999999998</v>
      </c>
      <c r="K35" s="16">
        <v>172.87204</v>
      </c>
    </row>
    <row r="36" spans="1:19" ht="15.75" x14ac:dyDescent="0.25">
      <c r="A36" s="152" t="s">
        <v>32</v>
      </c>
      <c r="B36" s="152"/>
      <c r="C36" s="152"/>
      <c r="D36" s="152"/>
      <c r="E36" s="152"/>
      <c r="F36" s="153"/>
      <c r="G36" s="14">
        <f>G37+G53+G69</f>
        <v>-2849.9927626588274</v>
      </c>
      <c r="H36" s="14">
        <f>H37+H53+H69</f>
        <v>-2734.5354323119786</v>
      </c>
      <c r="I36" s="14">
        <f>I37+I53+I69</f>
        <v>-2574.0352890874278</v>
      </c>
      <c r="J36" s="14">
        <f>J37+J53+J69</f>
        <v>-1231.8437412595999</v>
      </c>
      <c r="K36" s="14">
        <f>K37+K53+K69</f>
        <v>-870.81244573011827</v>
      </c>
    </row>
    <row r="37" spans="1:19" x14ac:dyDescent="0.25">
      <c r="A37" s="151" t="s">
        <v>33</v>
      </c>
      <c r="B37" s="151"/>
      <c r="C37" s="151"/>
      <c r="D37" s="151"/>
      <c r="E37" s="151"/>
      <c r="F37" s="151"/>
      <c r="G37" s="15">
        <f>G38+G45</f>
        <v>7516.7164350902303</v>
      </c>
      <c r="H37" s="15">
        <f>H38+H45</f>
        <v>7583.2876717706567</v>
      </c>
      <c r="I37" s="15">
        <f>I38+I45</f>
        <v>7907.5949442675555</v>
      </c>
      <c r="J37" s="15">
        <f>J38+J45</f>
        <v>8910.0788705526593</v>
      </c>
      <c r="K37" s="15">
        <f>K38+K45</f>
        <v>9218.2190274270561</v>
      </c>
    </row>
    <row r="38" spans="1:19" x14ac:dyDescent="0.25">
      <c r="A38" s="147" t="s">
        <v>34</v>
      </c>
      <c r="B38" s="147"/>
      <c r="C38" s="147"/>
      <c r="D38" s="147"/>
      <c r="E38" s="147"/>
      <c r="F38" s="147"/>
      <c r="G38" s="16">
        <f>SUM(G39:G44)</f>
        <v>3359.7063463012</v>
      </c>
      <c r="H38" s="16">
        <f>SUM(H39:H44)</f>
        <v>3435.8824042787996</v>
      </c>
      <c r="I38" s="16">
        <f>SUM(I39:I44)</f>
        <v>3599.2854614528001</v>
      </c>
      <c r="J38" s="16">
        <f>SUM(J39:J44)</f>
        <v>3979.8496345103999</v>
      </c>
      <c r="K38" s="16">
        <f>SUM(K39:K44)</f>
        <v>4079.8617956040007</v>
      </c>
    </row>
    <row r="39" spans="1:19" x14ac:dyDescent="0.25">
      <c r="A39" s="154" t="s">
        <v>35</v>
      </c>
      <c r="B39" s="154"/>
      <c r="C39" s="154"/>
      <c r="D39" s="154"/>
      <c r="E39" s="154"/>
      <c r="F39" s="154"/>
      <c r="G39" s="17">
        <f>665.898537528+2571.1213007732</f>
        <v>3237.0198383011998</v>
      </c>
      <c r="H39" s="17">
        <f>696.52942128+2619.3807949988</f>
        <v>3315.9102162787999</v>
      </c>
      <c r="I39" s="17">
        <f>712.687335024+2766.4545014288</f>
        <v>3479.1418364527999</v>
      </c>
      <c r="J39" s="17">
        <f>710.32118892+3150.1969010904</f>
        <v>3860.5180900104001</v>
      </c>
      <c r="K39" s="17">
        <f>734.785126992+3225.341330862</f>
        <v>3960.1264578540004</v>
      </c>
      <c r="L39" s="18"/>
      <c r="M39" s="18"/>
      <c r="N39" s="18"/>
      <c r="O39" s="19"/>
      <c r="P39" s="18"/>
      <c r="Q39" s="18"/>
      <c r="R39" s="18"/>
      <c r="S39" s="18"/>
    </row>
    <row r="40" spans="1:19" x14ac:dyDescent="0.25">
      <c r="A40" s="154" t="s">
        <v>36</v>
      </c>
      <c r="B40" s="154"/>
      <c r="C40" s="154"/>
      <c r="D40" s="154"/>
      <c r="E40" s="154"/>
      <c r="F40" s="154"/>
      <c r="G40" s="17">
        <v>25.926039999999997</v>
      </c>
      <c r="H40" s="17">
        <v>26.621559999999999</v>
      </c>
      <c r="I40" s="17">
        <v>26.02628</v>
      </c>
      <c r="J40" s="17">
        <v>26.003740000000001</v>
      </c>
      <c r="K40" s="17">
        <v>26.260499999999997</v>
      </c>
    </row>
    <row r="41" spans="1:19" x14ac:dyDescent="0.25">
      <c r="A41" s="154" t="s">
        <v>37</v>
      </c>
      <c r="B41" s="154"/>
      <c r="C41" s="154"/>
      <c r="D41" s="154"/>
      <c r="E41" s="154"/>
      <c r="F41" s="154"/>
      <c r="G41" s="17">
        <v>21.499659999999999</v>
      </c>
      <c r="H41" s="17">
        <v>21.545999999999999</v>
      </c>
      <c r="I41" s="17">
        <v>21.3325</v>
      </c>
      <c r="J41" s="17">
        <v>21.224139999999998</v>
      </c>
      <c r="K41" s="17">
        <v>20.977599999999999</v>
      </c>
    </row>
    <row r="42" spans="1:19" x14ac:dyDescent="0.25">
      <c r="A42" s="154" t="s">
        <v>38</v>
      </c>
      <c r="B42" s="154"/>
      <c r="C42" s="154"/>
      <c r="D42" s="154"/>
      <c r="E42" s="154"/>
      <c r="F42" s="154"/>
      <c r="G42" s="17">
        <v>32.829551999999993</v>
      </c>
      <c r="H42" s="17">
        <v>32.186952000000005</v>
      </c>
      <c r="I42" s="17">
        <v>32.508251999999999</v>
      </c>
      <c r="J42" s="17">
        <v>32.347602000000002</v>
      </c>
      <c r="K42" s="17">
        <v>32.427926999999997</v>
      </c>
    </row>
    <row r="43" spans="1:19" x14ac:dyDescent="0.25">
      <c r="A43" s="154" t="s">
        <v>39</v>
      </c>
      <c r="B43" s="154"/>
      <c r="C43" s="154"/>
      <c r="D43" s="154"/>
      <c r="E43" s="154"/>
      <c r="F43" s="154"/>
      <c r="G43" s="17">
        <f>1.29094+32.816</f>
        <v>34.106940000000002</v>
      </c>
      <c r="H43" s="17">
        <f>1.18937+32.2</f>
        <v>33.38937</v>
      </c>
      <c r="I43" s="17">
        <f>1.240155+32.508</f>
        <v>33.748155000000004</v>
      </c>
      <c r="J43" s="17">
        <f>1.2147625+32.34</f>
        <v>33.554762500000002</v>
      </c>
      <c r="K43" s="17">
        <f>1.22745875+32.424</f>
        <v>33.651458749999996</v>
      </c>
    </row>
    <row r="44" spans="1:19" x14ac:dyDescent="0.25">
      <c r="A44" s="154" t="s">
        <v>40</v>
      </c>
      <c r="B44" s="154"/>
      <c r="C44" s="154"/>
      <c r="D44" s="154"/>
      <c r="E44" s="154"/>
      <c r="F44" s="154"/>
      <c r="G44" s="17">
        <v>8.3243159999999996</v>
      </c>
      <c r="H44" s="17">
        <v>6.2283059999999999</v>
      </c>
      <c r="I44" s="17">
        <v>6.5284379999999986</v>
      </c>
      <c r="J44" s="17">
        <v>6.2012999999999998</v>
      </c>
      <c r="K44" s="17">
        <v>6.4178519999999999</v>
      </c>
    </row>
    <row r="45" spans="1:19" x14ac:dyDescent="0.25">
      <c r="A45" s="147" t="s">
        <v>41</v>
      </c>
      <c r="B45" s="147"/>
      <c r="C45" s="147"/>
      <c r="D45" s="147"/>
      <c r="E45" s="147"/>
      <c r="F45" s="147"/>
      <c r="G45" s="16">
        <f>SUM(G46:G52)</f>
        <v>4157.0100887890303</v>
      </c>
      <c r="H45" s="16">
        <f>SUM(H46:H52)</f>
        <v>4147.4052674918576</v>
      </c>
      <c r="I45" s="16">
        <f>SUM(I46:I52)</f>
        <v>4308.3094828147559</v>
      </c>
      <c r="J45" s="16">
        <f>SUM(J46:J52)</f>
        <v>4930.2292360422589</v>
      </c>
      <c r="K45" s="16">
        <f>SUM(K46:K52)</f>
        <v>5138.3572318230554</v>
      </c>
    </row>
    <row r="46" spans="1:19" x14ac:dyDescent="0.25">
      <c r="A46" s="154" t="s">
        <v>42</v>
      </c>
      <c r="B46" s="154"/>
      <c r="C46" s="154"/>
      <c r="D46" s="154"/>
      <c r="E46" s="154"/>
      <c r="F46" s="154"/>
      <c r="G46" s="17">
        <f>513.727021189454+3086.61413121863</f>
        <v>3600.3411524080839</v>
      </c>
      <c r="H46" s="17">
        <f>539.720192106257+3144.54933513041</f>
        <v>3684.2695272366668</v>
      </c>
      <c r="I46" s="17">
        <f>555.576417195931+3262.06358248384</f>
        <v>3817.6399996797709</v>
      </c>
      <c r="J46" s="17">
        <f>584.597813860607+3839.09608201681</f>
        <v>4423.6938958774172</v>
      </c>
      <c r="K46" s="17">
        <f>613.352690758111+3992.00567719057</f>
        <v>4605.358367948681</v>
      </c>
      <c r="L46" s="18"/>
      <c r="M46" s="18"/>
      <c r="N46" s="18"/>
      <c r="O46" s="19"/>
    </row>
    <row r="47" spans="1:19" x14ac:dyDescent="0.25">
      <c r="A47" s="154" t="s">
        <v>43</v>
      </c>
      <c r="B47" s="154"/>
      <c r="C47" s="154"/>
      <c r="D47" s="154"/>
      <c r="E47" s="154"/>
      <c r="F47" s="154"/>
      <c r="G47" s="17">
        <v>31.660152466888604</v>
      </c>
      <c r="H47" s="17">
        <v>33.055971647463423</v>
      </c>
      <c r="I47" s="17">
        <v>34.224070953248166</v>
      </c>
      <c r="J47" s="17">
        <v>34.340430077848303</v>
      </c>
      <c r="K47" s="17">
        <v>34.754227179338415</v>
      </c>
    </row>
    <row r="48" spans="1:19" x14ac:dyDescent="0.25">
      <c r="A48" s="154" t="s">
        <v>44</v>
      </c>
      <c r="B48" s="154"/>
      <c r="C48" s="154"/>
      <c r="D48" s="154"/>
      <c r="E48" s="154"/>
      <c r="F48" s="154"/>
      <c r="G48" s="17">
        <v>29.554748148361401</v>
      </c>
      <c r="H48" s="17">
        <v>30.871935974272862</v>
      </c>
      <c r="I48" s="17">
        <v>32.375800974391097</v>
      </c>
      <c r="J48" s="17">
        <v>32.532603954386339</v>
      </c>
      <c r="K48" s="17">
        <v>32.759139142764404</v>
      </c>
    </row>
    <row r="49" spans="1:11" x14ac:dyDescent="0.25">
      <c r="A49" s="154" t="s">
        <v>45</v>
      </c>
      <c r="B49" s="154"/>
      <c r="C49" s="154"/>
      <c r="D49" s="154"/>
      <c r="E49" s="154"/>
      <c r="F49" s="154"/>
      <c r="G49" s="17">
        <v>27.837955455382399</v>
      </c>
      <c r="H49" s="17">
        <v>28.695936745596857</v>
      </c>
      <c r="I49" s="17">
        <v>30.238181881490895</v>
      </c>
      <c r="J49" s="17">
        <v>30.318824203057737</v>
      </c>
      <c r="K49" s="17">
        <v>30.127642238364402</v>
      </c>
    </row>
    <row r="50" spans="1:11" x14ac:dyDescent="0.25">
      <c r="A50" s="154" t="s">
        <v>46</v>
      </c>
      <c r="B50" s="154"/>
      <c r="C50" s="154"/>
      <c r="D50" s="154"/>
      <c r="E50" s="154"/>
      <c r="F50" s="154"/>
      <c r="G50" s="17">
        <v>89.274557260122293</v>
      </c>
      <c r="H50" s="17">
        <v>87.258943875855437</v>
      </c>
      <c r="I50" s="17">
        <v>96.473237003361248</v>
      </c>
      <c r="J50" s="17">
        <v>95.914263019503124</v>
      </c>
      <c r="K50" s="17">
        <v>96.193751165085104</v>
      </c>
    </row>
    <row r="51" spans="1:11" x14ac:dyDescent="0.25">
      <c r="A51" s="154" t="s">
        <v>47</v>
      </c>
      <c r="B51" s="154"/>
      <c r="C51" s="154"/>
      <c r="D51" s="154"/>
      <c r="E51" s="154"/>
      <c r="F51" s="154"/>
      <c r="G51" s="17">
        <v>376.37814498814066</v>
      </c>
      <c r="H51" s="17">
        <v>280.89905748748203</v>
      </c>
      <c r="I51" s="17">
        <v>294.61689804863721</v>
      </c>
      <c r="J51" s="17">
        <v>310.81561046685277</v>
      </c>
      <c r="K51" s="17">
        <v>336.77351768986881</v>
      </c>
    </row>
    <row r="52" spans="1:11" x14ac:dyDescent="0.25">
      <c r="A52" s="154" t="s">
        <v>48</v>
      </c>
      <c r="B52" s="154"/>
      <c r="C52" s="154"/>
      <c r="D52" s="154"/>
      <c r="E52" s="154"/>
      <c r="F52" s="154"/>
      <c r="G52" s="17">
        <v>1.9633780620509471</v>
      </c>
      <c r="H52" s="17">
        <v>2.3538945245203906</v>
      </c>
      <c r="I52" s="17">
        <v>2.7412942738564872</v>
      </c>
      <c r="J52" s="17">
        <v>2.6136084431944884</v>
      </c>
      <c r="K52" s="17">
        <v>2.3905864589538037</v>
      </c>
    </row>
    <row r="53" spans="1:11" x14ac:dyDescent="0.25">
      <c r="A53" s="151" t="s">
        <v>49</v>
      </c>
      <c r="B53" s="151"/>
      <c r="C53" s="151"/>
      <c r="D53" s="151"/>
      <c r="E53" s="151"/>
      <c r="F53" s="151"/>
      <c r="G53" s="15">
        <f>G54+G57+G60+G63+G65+G67</f>
        <v>-12741.687242413045</v>
      </c>
      <c r="H53" s="15">
        <f>H54+H57+H60+H63+H65+H67</f>
        <v>-12741.687242413045</v>
      </c>
      <c r="I53" s="15">
        <f>I54+I57+I60+I63+I65+I67</f>
        <v>-12741.687242413045</v>
      </c>
      <c r="J53" s="15">
        <f>J54+J57+J60+J63+J65+J67</f>
        <v>-12741.687242413045</v>
      </c>
      <c r="K53" s="15">
        <f>K54+K57+K60+K63+K65+K67</f>
        <v>-12741.687242413045</v>
      </c>
    </row>
    <row r="54" spans="1:11" x14ac:dyDescent="0.25">
      <c r="A54" s="147" t="s">
        <v>50</v>
      </c>
      <c r="B54" s="147"/>
      <c r="C54" s="147"/>
      <c r="D54" s="147"/>
      <c r="E54" s="147"/>
      <c r="F54" s="147"/>
      <c r="G54" s="16">
        <f>SUM(G55:G56)</f>
        <v>-11015.978223384009</v>
      </c>
      <c r="H54" s="16">
        <f t="shared" ref="H54:K54" si="4">SUM(H55:H56)</f>
        <v>-11015.978223384009</v>
      </c>
      <c r="I54" s="16">
        <f t="shared" si="4"/>
        <v>-11015.978223384009</v>
      </c>
      <c r="J54" s="16">
        <f t="shared" si="4"/>
        <v>-11015.978223384009</v>
      </c>
      <c r="K54" s="16">
        <f t="shared" si="4"/>
        <v>-11015.978223384009</v>
      </c>
    </row>
    <row r="55" spans="1:11" x14ac:dyDescent="0.25">
      <c r="A55" s="154" t="s">
        <v>51</v>
      </c>
      <c r="B55" s="154"/>
      <c r="C55" s="154"/>
      <c r="D55" s="154"/>
      <c r="E55" s="154"/>
      <c r="F55" s="154"/>
      <c r="G55" s="17">
        <v>-10878.647356883306</v>
      </c>
      <c r="H55" s="17">
        <v>-10878.647356883306</v>
      </c>
      <c r="I55" s="17">
        <v>-10878.647356883306</v>
      </c>
      <c r="J55" s="17">
        <v>-10878.647356883306</v>
      </c>
      <c r="K55" s="17">
        <v>-10878.647356883306</v>
      </c>
    </row>
    <row r="56" spans="1:11" x14ac:dyDescent="0.25">
      <c r="A56" s="154" t="s">
        <v>52</v>
      </c>
      <c r="B56" s="154"/>
      <c r="C56" s="154"/>
      <c r="D56" s="154"/>
      <c r="E56" s="154"/>
      <c r="F56" s="154"/>
      <c r="G56" s="17">
        <v>-137.33086650070328</v>
      </c>
      <c r="H56" s="17">
        <v>-137.33086650070328</v>
      </c>
      <c r="I56" s="17">
        <v>-137.33086650070328</v>
      </c>
      <c r="J56" s="17">
        <v>-137.33086650070328</v>
      </c>
      <c r="K56" s="17">
        <v>-137.33086650070328</v>
      </c>
    </row>
    <row r="57" spans="1:11" x14ac:dyDescent="0.25">
      <c r="A57" s="147" t="s">
        <v>53</v>
      </c>
      <c r="B57" s="147"/>
      <c r="C57" s="147"/>
      <c r="D57" s="147"/>
      <c r="E57" s="147"/>
      <c r="F57" s="147"/>
      <c r="G57" s="16">
        <f>SUM(G58:G59)</f>
        <v>967.1930204401674</v>
      </c>
      <c r="H57" s="16">
        <f t="shared" ref="H57:K57" si="5">SUM(H58:H59)</f>
        <v>967.1930204401674</v>
      </c>
      <c r="I57" s="16">
        <f t="shared" si="5"/>
        <v>967.1930204401674</v>
      </c>
      <c r="J57" s="16">
        <f t="shared" si="5"/>
        <v>967.1930204401674</v>
      </c>
      <c r="K57" s="16">
        <f t="shared" si="5"/>
        <v>967.1930204401674</v>
      </c>
    </row>
    <row r="58" spans="1:11" x14ac:dyDescent="0.25">
      <c r="A58" s="154" t="s">
        <v>54</v>
      </c>
      <c r="B58" s="154"/>
      <c r="C58" s="154"/>
      <c r="D58" s="154"/>
      <c r="E58" s="154"/>
      <c r="F58" s="154"/>
      <c r="G58" s="17">
        <v>-201.47820000000002</v>
      </c>
      <c r="H58" s="17">
        <v>-201.47820000000002</v>
      </c>
      <c r="I58" s="17">
        <v>-201.47820000000002</v>
      </c>
      <c r="J58" s="17">
        <v>-201.47820000000002</v>
      </c>
      <c r="K58" s="17">
        <v>-201.47820000000002</v>
      </c>
    </row>
    <row r="59" spans="1:11" x14ac:dyDescent="0.25">
      <c r="A59" s="154" t="s">
        <v>55</v>
      </c>
      <c r="B59" s="154"/>
      <c r="C59" s="154"/>
      <c r="D59" s="154"/>
      <c r="E59" s="154"/>
      <c r="F59" s="154"/>
      <c r="G59" s="17">
        <v>1168.6712204401674</v>
      </c>
      <c r="H59" s="17">
        <v>1168.6712204401674</v>
      </c>
      <c r="I59" s="17">
        <v>1168.6712204401674</v>
      </c>
      <c r="J59" s="17">
        <v>1168.6712204401674</v>
      </c>
      <c r="K59" s="17">
        <v>1168.6712204401674</v>
      </c>
    </row>
    <row r="60" spans="1:11" x14ac:dyDescent="0.25">
      <c r="A60" s="147" t="s">
        <v>56</v>
      </c>
      <c r="B60" s="147"/>
      <c r="C60" s="147"/>
      <c r="D60" s="147"/>
      <c r="E60" s="147"/>
      <c r="F60" s="147"/>
      <c r="G60" s="16">
        <f>SUM(G61:G62)</f>
        <v>-2757.9061853712728</v>
      </c>
      <c r="H60" s="16">
        <f t="shared" ref="H60:K60" si="6">SUM(H61:H62)</f>
        <v>-2757.9061853712728</v>
      </c>
      <c r="I60" s="16">
        <f t="shared" si="6"/>
        <v>-2757.9061853712728</v>
      </c>
      <c r="J60" s="16">
        <f t="shared" si="6"/>
        <v>-2757.9061853712728</v>
      </c>
      <c r="K60" s="16">
        <f t="shared" si="6"/>
        <v>-2757.9061853712728</v>
      </c>
    </row>
    <row r="61" spans="1:11" x14ac:dyDescent="0.25">
      <c r="A61" s="154" t="s">
        <v>57</v>
      </c>
      <c r="B61" s="154"/>
      <c r="C61" s="154"/>
      <c r="D61" s="154"/>
      <c r="E61" s="154"/>
      <c r="F61" s="154"/>
      <c r="G61" s="17">
        <v>-3389.456354884207</v>
      </c>
      <c r="H61" s="17">
        <v>-3389.456354884207</v>
      </c>
      <c r="I61" s="17">
        <v>-3389.456354884207</v>
      </c>
      <c r="J61" s="17">
        <v>-3389.456354884207</v>
      </c>
      <c r="K61" s="17">
        <v>-3389.456354884207</v>
      </c>
    </row>
    <row r="62" spans="1:11" x14ac:dyDescent="0.25">
      <c r="A62" s="154" t="s">
        <v>58</v>
      </c>
      <c r="B62" s="154"/>
      <c r="C62" s="154"/>
      <c r="D62" s="154"/>
      <c r="E62" s="154"/>
      <c r="F62" s="154"/>
      <c r="G62" s="17">
        <v>631.55016951293396</v>
      </c>
      <c r="H62" s="17">
        <v>631.55016951293396</v>
      </c>
      <c r="I62" s="17">
        <v>631.55016951293396</v>
      </c>
      <c r="J62" s="17">
        <v>631.55016951293396</v>
      </c>
      <c r="K62" s="17">
        <v>631.55016951293396</v>
      </c>
    </row>
    <row r="63" spans="1:11" x14ac:dyDescent="0.25">
      <c r="A63" s="147" t="s">
        <v>59</v>
      </c>
      <c r="B63" s="147"/>
      <c r="C63" s="147"/>
      <c r="D63" s="147"/>
      <c r="E63" s="147"/>
      <c r="F63" s="147"/>
      <c r="G63" s="16">
        <f>G64</f>
        <v>4.3085144049804276</v>
      </c>
      <c r="H63" s="16">
        <f t="shared" ref="H63:K63" si="7">H64</f>
        <v>4.3085144049804276</v>
      </c>
      <c r="I63" s="16">
        <f t="shared" si="7"/>
        <v>4.3085144049804276</v>
      </c>
      <c r="J63" s="16">
        <f t="shared" si="7"/>
        <v>4.3085144049804276</v>
      </c>
      <c r="K63" s="16">
        <f t="shared" si="7"/>
        <v>4.3085144049804276</v>
      </c>
    </row>
    <row r="64" spans="1:11" x14ac:dyDescent="0.25">
      <c r="A64" s="155" t="s">
        <v>60</v>
      </c>
      <c r="B64" s="156"/>
      <c r="C64" s="156"/>
      <c r="D64" s="156"/>
      <c r="E64" s="156"/>
      <c r="F64" s="157"/>
      <c r="G64" s="17">
        <v>4.3085144049804276</v>
      </c>
      <c r="H64" s="17">
        <v>4.3085144049804276</v>
      </c>
      <c r="I64" s="17">
        <v>4.3085144049804276</v>
      </c>
      <c r="J64" s="17">
        <v>4.3085144049804276</v>
      </c>
      <c r="K64" s="17">
        <v>4.3085144049804276</v>
      </c>
    </row>
    <row r="65" spans="1:11" x14ac:dyDescent="0.25">
      <c r="A65" s="147" t="s">
        <v>61</v>
      </c>
      <c r="B65" s="147"/>
      <c r="C65" s="147"/>
      <c r="D65" s="147"/>
      <c r="E65" s="147"/>
      <c r="F65" s="147"/>
      <c r="G65" s="16">
        <f>G66</f>
        <v>15.458165142356158</v>
      </c>
      <c r="H65" s="16">
        <f t="shared" ref="H65:K65" si="8">H66</f>
        <v>15.458165142356158</v>
      </c>
      <c r="I65" s="16">
        <f t="shared" si="8"/>
        <v>15.458165142356158</v>
      </c>
      <c r="J65" s="16">
        <f t="shared" si="8"/>
        <v>15.458165142356158</v>
      </c>
      <c r="K65" s="16">
        <f t="shared" si="8"/>
        <v>15.458165142356158</v>
      </c>
    </row>
    <row r="66" spans="1:11" x14ac:dyDescent="0.25">
      <c r="A66" s="154" t="s">
        <v>62</v>
      </c>
      <c r="B66" s="154"/>
      <c r="C66" s="154"/>
      <c r="D66" s="154"/>
      <c r="E66" s="154"/>
      <c r="F66" s="154"/>
      <c r="G66" s="17">
        <v>15.458165142356158</v>
      </c>
      <c r="H66" s="17">
        <v>15.458165142356158</v>
      </c>
      <c r="I66" s="17">
        <v>15.458165142356158</v>
      </c>
      <c r="J66" s="17">
        <v>15.458165142356158</v>
      </c>
      <c r="K66" s="17">
        <v>15.458165142356158</v>
      </c>
    </row>
    <row r="67" spans="1:11" x14ac:dyDescent="0.25">
      <c r="A67" s="147" t="s">
        <v>63</v>
      </c>
      <c r="B67" s="147"/>
      <c r="C67" s="147"/>
      <c r="D67" s="147"/>
      <c r="E67" s="147"/>
      <c r="F67" s="147"/>
      <c r="G67" s="16">
        <f>G68</f>
        <v>45.237466354731666</v>
      </c>
      <c r="H67" s="16">
        <f t="shared" ref="H67:K67" si="9">H68</f>
        <v>45.237466354731666</v>
      </c>
      <c r="I67" s="16">
        <f t="shared" si="9"/>
        <v>45.237466354731666</v>
      </c>
      <c r="J67" s="16">
        <f t="shared" si="9"/>
        <v>45.237466354731666</v>
      </c>
      <c r="K67" s="16">
        <f t="shared" si="9"/>
        <v>45.237466354731666</v>
      </c>
    </row>
    <row r="68" spans="1:11" x14ac:dyDescent="0.25">
      <c r="A68" s="154" t="s">
        <v>64</v>
      </c>
      <c r="B68" s="154"/>
      <c r="C68" s="154"/>
      <c r="D68" s="154"/>
      <c r="E68" s="154"/>
      <c r="F68" s="154"/>
      <c r="G68" s="17">
        <v>45.237466354731666</v>
      </c>
      <c r="H68" s="17">
        <v>45.237466354731666</v>
      </c>
      <c r="I68" s="17">
        <v>45.237466354731666</v>
      </c>
      <c r="J68" s="17">
        <v>45.237466354731666</v>
      </c>
      <c r="K68" s="17">
        <v>45.237466354731666</v>
      </c>
    </row>
    <row r="69" spans="1:11" x14ac:dyDescent="0.25">
      <c r="A69" s="151" t="s">
        <v>65</v>
      </c>
      <c r="B69" s="151"/>
      <c r="C69" s="151"/>
      <c r="D69" s="151"/>
      <c r="E69" s="151"/>
      <c r="F69" s="151"/>
      <c r="G69" s="15">
        <f>G70+G74+G75+G76+G77+G78</f>
        <v>2374.9780446639875</v>
      </c>
      <c r="H69" s="15">
        <f>H70+H74+H75+H76+H77+H78</f>
        <v>2423.8641383304098</v>
      </c>
      <c r="I69" s="15">
        <f>I70+I74+I75+I76+I77+I78</f>
        <v>2260.0570090580618</v>
      </c>
      <c r="J69" s="15">
        <f>J70+J74+J75+J76+J77+J78</f>
        <v>2599.7646306007859</v>
      </c>
      <c r="K69" s="15">
        <f>K70+K74+K75+K76+K77+K78</f>
        <v>2652.6557692558708</v>
      </c>
    </row>
    <row r="70" spans="1:11" x14ac:dyDescent="0.25">
      <c r="A70" s="147" t="s">
        <v>66</v>
      </c>
      <c r="B70" s="147"/>
      <c r="C70" s="147"/>
      <c r="D70" s="147"/>
      <c r="E70" s="147"/>
      <c r="F70" s="147"/>
      <c r="G70" s="16">
        <f>SUM(G71:G73)</f>
        <v>149.55137193538593</v>
      </c>
      <c r="H70" s="16">
        <f t="shared" ref="H70:K70" si="10">SUM(H71:H73)</f>
        <v>132.06376684863432</v>
      </c>
      <c r="I70" s="16">
        <f t="shared" si="10"/>
        <v>90.43481732139719</v>
      </c>
      <c r="J70" s="16">
        <f t="shared" si="10"/>
        <v>110.6287252506205</v>
      </c>
      <c r="K70" s="16">
        <f t="shared" si="10"/>
        <v>216.59459428838039</v>
      </c>
    </row>
    <row r="71" spans="1:11" x14ac:dyDescent="0.25">
      <c r="A71" s="154" t="s">
        <v>67</v>
      </c>
      <c r="B71" s="154"/>
      <c r="C71" s="154"/>
      <c r="D71" s="154"/>
      <c r="E71" s="154"/>
      <c r="F71" s="154"/>
      <c r="G71" s="17">
        <v>35.203837596597779</v>
      </c>
      <c r="H71" s="17">
        <v>32.08126581176176</v>
      </c>
      <c r="I71" s="17">
        <v>1.1747635583453011</v>
      </c>
      <c r="J71" s="17">
        <v>14.813057017811317</v>
      </c>
      <c r="K71" s="17">
        <v>56.355065247354183</v>
      </c>
    </row>
    <row r="72" spans="1:11" x14ac:dyDescent="0.25">
      <c r="A72" s="154" t="s">
        <v>68</v>
      </c>
      <c r="B72" s="154"/>
      <c r="C72" s="154"/>
      <c r="D72" s="154"/>
      <c r="E72" s="154"/>
      <c r="F72" s="154"/>
      <c r="G72" s="17">
        <v>91.4</v>
      </c>
      <c r="H72" s="17">
        <v>89.6</v>
      </c>
      <c r="I72" s="17">
        <v>87.5</v>
      </c>
      <c r="J72" s="17">
        <v>85.599999999999909</v>
      </c>
      <c r="K72" s="17">
        <v>83.650000000000091</v>
      </c>
    </row>
    <row r="73" spans="1:11" x14ac:dyDescent="0.25">
      <c r="A73" s="154" t="s">
        <v>69</v>
      </c>
      <c r="B73" s="154"/>
      <c r="C73" s="154"/>
      <c r="D73" s="154"/>
      <c r="E73" s="154"/>
      <c r="F73" s="154"/>
      <c r="G73" s="17">
        <v>22.947534338788138</v>
      </c>
      <c r="H73" s="17">
        <v>10.382501036872569</v>
      </c>
      <c r="I73" s="17">
        <v>1.7600537630518924</v>
      </c>
      <c r="J73" s="17">
        <v>10.215668232809278</v>
      </c>
      <c r="K73" s="17">
        <v>76.589529041026111</v>
      </c>
    </row>
    <row r="74" spans="1:11" x14ac:dyDescent="0.25">
      <c r="A74" s="147" t="s">
        <v>70</v>
      </c>
      <c r="B74" s="147"/>
      <c r="C74" s="147"/>
      <c r="D74" s="147"/>
      <c r="E74" s="147"/>
      <c r="F74" s="147"/>
      <c r="G74" s="16">
        <v>2.1117909752619708</v>
      </c>
      <c r="H74" s="16">
        <v>2.1572916845834147</v>
      </c>
      <c r="I74" s="16">
        <v>2.1291479833474991</v>
      </c>
      <c r="J74" s="16">
        <v>2.2215254223520167</v>
      </c>
      <c r="K74" s="16">
        <v>2.2611329736777015</v>
      </c>
    </row>
    <row r="75" spans="1:11" x14ac:dyDescent="0.25">
      <c r="A75" s="147" t="s">
        <v>71</v>
      </c>
      <c r="B75" s="147"/>
      <c r="C75" s="147"/>
      <c r="D75" s="147"/>
      <c r="E75" s="147"/>
      <c r="F75" s="147"/>
      <c r="G75" s="16">
        <v>69.212731358167545</v>
      </c>
      <c r="H75" s="16">
        <v>75.270546327590068</v>
      </c>
      <c r="I75" s="16">
        <v>60.117264376988963</v>
      </c>
      <c r="J75" s="16">
        <v>74.18721000312236</v>
      </c>
      <c r="K75" s="16">
        <v>64.308962718018577</v>
      </c>
    </row>
    <row r="76" spans="1:11" x14ac:dyDescent="0.25">
      <c r="A76" s="147" t="s">
        <v>72</v>
      </c>
      <c r="B76" s="147"/>
      <c r="C76" s="147"/>
      <c r="D76" s="147"/>
      <c r="E76" s="147"/>
      <c r="F76" s="147"/>
      <c r="G76" s="16">
        <v>1468.5754723803298</v>
      </c>
      <c r="H76" s="16">
        <v>1510.8151927064257</v>
      </c>
      <c r="I76" s="16">
        <v>1429.2472290641933</v>
      </c>
      <c r="J76" s="16">
        <v>1618.9379021432314</v>
      </c>
      <c r="K76" s="16">
        <v>1573.1736216455197</v>
      </c>
    </row>
    <row r="77" spans="1:11" x14ac:dyDescent="0.25">
      <c r="A77" s="147" t="s">
        <v>73</v>
      </c>
      <c r="B77" s="147"/>
      <c r="C77" s="147"/>
      <c r="D77" s="147"/>
      <c r="E77" s="147"/>
      <c r="F77" s="147"/>
      <c r="G77" s="16">
        <v>447.89637411542867</v>
      </c>
      <c r="H77" s="16">
        <v>462.92526967055653</v>
      </c>
      <c r="I77" s="16">
        <v>425.64126605758577</v>
      </c>
      <c r="J77" s="16">
        <v>459.7266561230403</v>
      </c>
      <c r="K77" s="16">
        <v>429.34620734042363</v>
      </c>
    </row>
    <row r="78" spans="1:11" x14ac:dyDescent="0.25">
      <c r="A78" s="147" t="s">
        <v>74</v>
      </c>
      <c r="B78" s="147"/>
      <c r="C78" s="147"/>
      <c r="D78" s="147"/>
      <c r="E78" s="147"/>
      <c r="F78" s="147"/>
      <c r="G78" s="16">
        <v>237.63030389941349</v>
      </c>
      <c r="H78" s="16">
        <v>240.63207109261984</v>
      </c>
      <c r="I78" s="16">
        <v>252.48728425454914</v>
      </c>
      <c r="J78" s="16">
        <v>334.0626116584196</v>
      </c>
      <c r="K78" s="16">
        <v>366.97125028985084</v>
      </c>
    </row>
    <row r="79" spans="1:11" ht="15.75" x14ac:dyDescent="0.25">
      <c r="A79" s="152" t="s">
        <v>75</v>
      </c>
      <c r="B79" s="152"/>
      <c r="C79" s="152"/>
      <c r="D79" s="152"/>
      <c r="E79" s="152"/>
      <c r="F79" s="153"/>
      <c r="G79" s="14">
        <f>G80+G83+G84+G87</f>
        <v>1290.3577311375407</v>
      </c>
      <c r="H79" s="14">
        <f>H80+H83+H84+H87</f>
        <v>1323.1879014725223</v>
      </c>
      <c r="I79" s="14">
        <f>I80+I83+I84+I87</f>
        <v>1352.579807099798</v>
      </c>
      <c r="J79" s="14">
        <f>J80+J83+J84+J87</f>
        <v>1374.9305046177967</v>
      </c>
      <c r="K79" s="14">
        <f>K80+K83+K84+K87</f>
        <v>1401.8509740522795</v>
      </c>
    </row>
    <row r="80" spans="1:11" x14ac:dyDescent="0.25">
      <c r="A80" s="151" t="s">
        <v>76</v>
      </c>
      <c r="B80" s="151"/>
      <c r="C80" s="151"/>
      <c r="D80" s="151"/>
      <c r="E80" s="151"/>
      <c r="F80" s="151"/>
      <c r="G80" s="15">
        <f>G81+G82</f>
        <v>459.14869999999996</v>
      </c>
      <c r="H80" s="15">
        <f t="shared" ref="H80:K80" si="11">H81+H82</f>
        <v>483.83240000000001</v>
      </c>
      <c r="I80" s="15">
        <f t="shared" si="11"/>
        <v>509.73580000000004</v>
      </c>
      <c r="J80" s="15">
        <f t="shared" si="11"/>
        <v>536.38139999999999</v>
      </c>
      <c r="K80" s="15">
        <f t="shared" si="11"/>
        <v>564.41689999999994</v>
      </c>
    </row>
    <row r="81" spans="1:26" x14ac:dyDescent="0.25">
      <c r="A81" s="147" t="s">
        <v>77</v>
      </c>
      <c r="B81" s="147"/>
      <c r="C81" s="147"/>
      <c r="D81" s="147"/>
      <c r="E81" s="147"/>
      <c r="F81" s="147"/>
      <c r="G81" s="16">
        <v>371.59039999999999</v>
      </c>
      <c r="H81" s="16">
        <v>394.76</v>
      </c>
      <c r="I81" s="16">
        <v>419.32780000000002</v>
      </c>
      <c r="J81" s="16">
        <v>444.47410000000002</v>
      </c>
      <c r="K81" s="16">
        <v>471.42129999999997</v>
      </c>
    </row>
    <row r="82" spans="1:26" x14ac:dyDescent="0.25">
      <c r="A82" s="147" t="s">
        <v>78</v>
      </c>
      <c r="B82" s="147"/>
      <c r="C82" s="147"/>
      <c r="D82" s="147"/>
      <c r="E82" s="147"/>
      <c r="F82" s="147"/>
      <c r="G82" s="16">
        <v>87.558300000000003</v>
      </c>
      <c r="H82" s="16">
        <v>89.072400000000002</v>
      </c>
      <c r="I82" s="16">
        <v>90.408000000000001</v>
      </c>
      <c r="J82" s="16">
        <v>91.907300000000006</v>
      </c>
      <c r="K82" s="16">
        <v>92.995599999999996</v>
      </c>
    </row>
    <row r="83" spans="1:26" x14ac:dyDescent="0.25">
      <c r="A83" s="151" t="s">
        <v>79</v>
      </c>
      <c r="B83" s="151"/>
      <c r="C83" s="151"/>
      <c r="D83" s="151"/>
      <c r="E83" s="151"/>
      <c r="F83" s="151"/>
      <c r="G83" s="15">
        <v>0.14498</v>
      </c>
      <c r="H83" s="15">
        <v>0.20857999999999999</v>
      </c>
      <c r="I83" s="15">
        <v>0.27217999999999998</v>
      </c>
      <c r="J83" s="15">
        <v>0.33578000000000002</v>
      </c>
      <c r="K83" s="15">
        <v>0.39938000000000001</v>
      </c>
    </row>
    <row r="84" spans="1:26" x14ac:dyDescent="0.25">
      <c r="A84" s="151" t="s">
        <v>80</v>
      </c>
      <c r="B84" s="151"/>
      <c r="C84" s="151"/>
      <c r="D84" s="151"/>
      <c r="E84" s="151"/>
      <c r="F84" s="151"/>
      <c r="G84" s="15">
        <f>G85+G86</f>
        <v>31.14752</v>
      </c>
      <c r="H84" s="15">
        <f t="shared" ref="H84:K84" si="12">H85+H86</f>
        <v>31.734400000000001</v>
      </c>
      <c r="I84" s="15">
        <f t="shared" si="12"/>
        <v>32.332349999999998</v>
      </c>
      <c r="J84" s="15">
        <f t="shared" si="12"/>
        <v>32.941589999999998</v>
      </c>
      <c r="K84" s="15">
        <f t="shared" si="12"/>
        <v>33.562329999999996</v>
      </c>
    </row>
    <row r="85" spans="1:26" x14ac:dyDescent="0.25">
      <c r="A85" s="147" t="s">
        <v>81</v>
      </c>
      <c r="B85" s="147"/>
      <c r="C85" s="147"/>
      <c r="D85" s="147"/>
      <c r="E85" s="147"/>
      <c r="F85" s="147"/>
      <c r="G85" s="16">
        <v>5.0939999999999999E-2</v>
      </c>
      <c r="H85" s="16">
        <v>5.0939999999999999E-2</v>
      </c>
      <c r="I85" s="16">
        <v>5.0939999999999999E-2</v>
      </c>
      <c r="J85" s="16">
        <v>5.0939999999999999E-2</v>
      </c>
      <c r="K85" s="16">
        <v>5.0939999999999999E-2</v>
      </c>
    </row>
    <row r="86" spans="1:26" x14ac:dyDescent="0.25">
      <c r="A86" s="147" t="s">
        <v>82</v>
      </c>
      <c r="B86" s="147"/>
      <c r="C86" s="147"/>
      <c r="D86" s="147"/>
      <c r="E86" s="147"/>
      <c r="F86" s="147"/>
      <c r="G86" s="16">
        <v>31.096579999999999</v>
      </c>
      <c r="H86" s="16">
        <v>31.68346</v>
      </c>
      <c r="I86" s="16">
        <v>32.281410000000001</v>
      </c>
      <c r="J86" s="16">
        <v>32.890650000000001</v>
      </c>
      <c r="K86" s="16">
        <v>33.511389999999999</v>
      </c>
    </row>
    <row r="87" spans="1:26" x14ac:dyDescent="0.25">
      <c r="A87" s="151" t="s">
        <v>83</v>
      </c>
      <c r="B87" s="151"/>
      <c r="C87" s="151"/>
      <c r="D87" s="151"/>
      <c r="E87" s="151"/>
      <c r="F87" s="151"/>
      <c r="G87" s="15">
        <f>SUM(G88:G89)</f>
        <v>799.9165311375408</v>
      </c>
      <c r="H87" s="15">
        <f t="shared" ref="H87:K87" si="13">SUM(H88:H89)</f>
        <v>807.41252147252214</v>
      </c>
      <c r="I87" s="15">
        <f t="shared" si="13"/>
        <v>810.23947709979802</v>
      </c>
      <c r="J87" s="15">
        <f t="shared" si="13"/>
        <v>805.27173461779671</v>
      </c>
      <c r="K87" s="15">
        <f t="shared" si="13"/>
        <v>803.47236405227954</v>
      </c>
    </row>
    <row r="88" spans="1:26" x14ac:dyDescent="0.25">
      <c r="A88" s="147" t="s">
        <v>84</v>
      </c>
      <c r="B88" s="147"/>
      <c r="C88" s="147"/>
      <c r="D88" s="147"/>
      <c r="E88" s="147"/>
      <c r="F88" s="147"/>
      <c r="G88" s="16">
        <v>741.77356206533875</v>
      </c>
      <c r="H88" s="16">
        <v>748.67027959494419</v>
      </c>
      <c r="I88" s="16">
        <v>750.89796241684405</v>
      </c>
      <c r="J88" s="16">
        <v>745.33094712946661</v>
      </c>
      <c r="K88" s="16">
        <v>742.93230375857343</v>
      </c>
    </row>
    <row r="89" spans="1:26" x14ac:dyDescent="0.25">
      <c r="A89" s="147" t="s">
        <v>85</v>
      </c>
      <c r="B89" s="147"/>
      <c r="C89" s="147"/>
      <c r="D89" s="147"/>
      <c r="E89" s="147"/>
      <c r="F89" s="147"/>
      <c r="G89" s="16">
        <v>58.142969072202</v>
      </c>
      <c r="H89" s="16">
        <v>58.742241877578003</v>
      </c>
      <c r="I89" s="16">
        <v>59.341514682953999</v>
      </c>
      <c r="J89" s="16">
        <v>59.940787488330045</v>
      </c>
      <c r="K89" s="16">
        <v>60.540060293706134</v>
      </c>
    </row>
    <row r="90" spans="1:26" ht="18.75" x14ac:dyDescent="0.25">
      <c r="A90" s="148" t="s">
        <v>10</v>
      </c>
      <c r="B90" s="149"/>
      <c r="C90" s="149"/>
      <c r="D90" s="149"/>
      <c r="E90" s="149"/>
      <c r="F90" s="150"/>
      <c r="G90" s="20">
        <f>G16+G30+G37+G69+G79</f>
        <v>29717.490613996521</v>
      </c>
      <c r="H90" s="20">
        <f>H16+H30+H37+H69+H79</f>
        <v>29893.679334214514</v>
      </c>
      <c r="I90" s="20">
        <f>I16+I30+I37+I69+I79</f>
        <v>29879.72682345628</v>
      </c>
      <c r="J90" s="20">
        <f>J16+J30+J37+J69+J79</f>
        <v>30652.015083478462</v>
      </c>
      <c r="K90" s="20">
        <f>K16+K30+K37+K69+K79</f>
        <v>31008.664334096931</v>
      </c>
    </row>
    <row r="91" spans="1:26" ht="18.75" x14ac:dyDescent="0.25">
      <c r="A91" s="148" t="s">
        <v>11</v>
      </c>
      <c r="B91" s="149"/>
      <c r="C91" s="149"/>
      <c r="D91" s="149"/>
      <c r="E91" s="149"/>
      <c r="F91" s="150"/>
      <c r="G91" s="20">
        <f>G90+(G53)</f>
        <v>16975.803371583475</v>
      </c>
      <c r="H91" s="20">
        <f>H90+(H53)</f>
        <v>17151.992091801469</v>
      </c>
      <c r="I91" s="20">
        <f>I90+(I53)</f>
        <v>17138.039581043235</v>
      </c>
      <c r="J91" s="20">
        <f>J90+(J53)</f>
        <v>17910.327841065417</v>
      </c>
      <c r="K91" s="20">
        <f>K90+(K53)</f>
        <v>18266.977091683886</v>
      </c>
    </row>
    <row r="93" spans="1:26" x14ac:dyDescent="0.25">
      <c r="A93" s="164" t="s">
        <v>214</v>
      </c>
      <c r="B93" s="164"/>
      <c r="C93" s="164"/>
      <c r="D93" s="164"/>
      <c r="E93" s="164"/>
      <c r="F93" s="164"/>
      <c r="K93" s="21" t="s">
        <v>215</v>
      </c>
      <c r="L93" s="22">
        <f>(K97/G97)^(1/($K$96-$G$96))-1</f>
        <v>1.068944775494729E-2</v>
      </c>
    </row>
    <row r="94" spans="1:26" x14ac:dyDescent="0.25">
      <c r="A94" s="110" t="s">
        <v>217</v>
      </c>
      <c r="B94" s="110"/>
      <c r="C94" s="110"/>
      <c r="D94" s="110"/>
      <c r="E94" s="110"/>
      <c r="F94" s="110"/>
      <c r="G94" s="3" t="s">
        <v>219</v>
      </c>
      <c r="I94" s="107" t="s">
        <v>210</v>
      </c>
      <c r="J94" s="3">
        <f>INDEX(LINEST(G98:K98,G96:K96,TRUE,FALSE),1)</f>
        <v>334.06831894647689</v>
      </c>
      <c r="K94" s="107" t="s">
        <v>211</v>
      </c>
      <c r="L94" s="3">
        <f>INDEX(LINEST(G98:K98,G96:K96,TRUE,FALSE),2)</f>
        <v>-642917.34743930236</v>
      </c>
    </row>
    <row r="95" spans="1:26" x14ac:dyDescent="0.25">
      <c r="K95" s="108"/>
      <c r="L95" s="108"/>
    </row>
    <row r="96" spans="1:26" ht="15.75" customHeight="1" x14ac:dyDescent="0.25">
      <c r="A96" s="162" t="s">
        <v>212</v>
      </c>
      <c r="B96" s="162"/>
      <c r="C96" s="162"/>
      <c r="D96" s="162"/>
      <c r="E96" s="162"/>
      <c r="F96" s="163"/>
      <c r="G96" s="11">
        <v>2013</v>
      </c>
      <c r="H96" s="11">
        <v>2014</v>
      </c>
      <c r="I96" s="11">
        <v>2015</v>
      </c>
      <c r="J96" s="11">
        <v>2016</v>
      </c>
      <c r="K96" s="11">
        <v>2017</v>
      </c>
      <c r="L96" s="11">
        <v>2018</v>
      </c>
      <c r="M96" s="11">
        <v>2019</v>
      </c>
      <c r="N96" s="11">
        <v>2020</v>
      </c>
      <c r="O96" s="11">
        <v>2021</v>
      </c>
      <c r="P96" s="11">
        <v>2022</v>
      </c>
      <c r="Q96" s="11">
        <v>2023</v>
      </c>
      <c r="R96" s="11">
        <v>2024</v>
      </c>
      <c r="S96" s="11">
        <v>2025</v>
      </c>
      <c r="T96" s="11">
        <v>2026</v>
      </c>
      <c r="U96" s="11">
        <v>2027</v>
      </c>
      <c r="V96" s="11">
        <v>2028</v>
      </c>
      <c r="W96" s="11">
        <v>2029</v>
      </c>
      <c r="X96" s="11">
        <v>2030</v>
      </c>
      <c r="Y96" s="11">
        <v>2031</v>
      </c>
      <c r="Z96" s="11">
        <v>2032</v>
      </c>
    </row>
    <row r="97" spans="1:26" ht="15.75" x14ac:dyDescent="0.25">
      <c r="A97" s="148" t="s">
        <v>213</v>
      </c>
      <c r="B97" s="149"/>
      <c r="C97" s="149"/>
      <c r="D97" s="149"/>
      <c r="E97" s="149"/>
      <c r="F97" s="150"/>
      <c r="G97" s="20">
        <f>G90</f>
        <v>29717.490613996521</v>
      </c>
      <c r="H97" s="20">
        <f t="shared" ref="H97:K97" si="14">H90</f>
        <v>29893.679334214514</v>
      </c>
      <c r="I97" s="20">
        <f t="shared" si="14"/>
        <v>29879.72682345628</v>
      </c>
      <c r="J97" s="20">
        <f t="shared" si="14"/>
        <v>30652.015083478462</v>
      </c>
      <c r="K97" s="20">
        <f t="shared" si="14"/>
        <v>31008.664334096931</v>
      </c>
      <c r="L97" s="109">
        <f>K97*(1+$L$93)</f>
        <v>31340.129831446957</v>
      </c>
      <c r="M97" s="109">
        <f t="shared" ref="M97:Z97" si="15">L97*(1+$L$93)</f>
        <v>31675.138511913476</v>
      </c>
      <c r="N97" s="109">
        <f t="shared" si="15"/>
        <v>32013.728250167293</v>
      </c>
      <c r="O97" s="109">
        <f t="shared" si="15"/>
        <v>32355.937325738538</v>
      </c>
      <c r="P97" s="109">
        <f t="shared" si="15"/>
        <v>32701.80442734437</v>
      </c>
      <c r="Q97" s="109">
        <f t="shared" si="15"/>
        <v>33051.368657262974</v>
      </c>
      <c r="R97" s="109">
        <f t="shared" si="15"/>
        <v>33404.669535754292</v>
      </c>
      <c r="S97" s="109">
        <f t="shared" si="15"/>
        <v>33761.747005528014</v>
      </c>
      <c r="T97" s="109">
        <f t="shared" si="15"/>
        <v>34122.641436259357</v>
      </c>
      <c r="U97" s="109">
        <f t="shared" si="15"/>
        <v>34487.393629153048</v>
      </c>
      <c r="V97" s="109">
        <f t="shared" si="15"/>
        <v>34856.044821556185</v>
      </c>
      <c r="W97" s="109">
        <f t="shared" si="15"/>
        <v>35228.636691620311</v>
      </c>
      <c r="X97" s="109">
        <f t="shared" si="15"/>
        <v>35605.211363013404</v>
      </c>
      <c r="Y97" s="109">
        <f t="shared" si="15"/>
        <v>35985.811409682188</v>
      </c>
      <c r="Z97" s="109">
        <f t="shared" si="15"/>
        <v>36370.479860665371</v>
      </c>
    </row>
    <row r="98" spans="1:26" ht="15.75" x14ac:dyDescent="0.25">
      <c r="A98" s="148" t="s">
        <v>216</v>
      </c>
      <c r="B98" s="149"/>
      <c r="C98" s="149"/>
      <c r="D98" s="149"/>
      <c r="E98" s="149"/>
      <c r="F98" s="150"/>
      <c r="G98" s="20">
        <f>G97</f>
        <v>29717.490613996521</v>
      </c>
      <c r="H98" s="20">
        <f t="shared" ref="H98:K98" si="16">H97</f>
        <v>29893.679334214514</v>
      </c>
      <c r="I98" s="20">
        <f t="shared" si="16"/>
        <v>29879.72682345628</v>
      </c>
      <c r="J98" s="20">
        <f t="shared" si="16"/>
        <v>30652.015083478462</v>
      </c>
      <c r="K98" s="20">
        <f t="shared" si="16"/>
        <v>31008.664334096931</v>
      </c>
      <c r="L98" s="109">
        <f>$J$94*L96+$L$94</f>
        <v>31232.520194687997</v>
      </c>
      <c r="M98" s="109">
        <f t="shared" ref="M98:Z98" si="17">$J$94*M96+$L$94</f>
        <v>31566.588513634517</v>
      </c>
      <c r="N98" s="109">
        <f t="shared" si="17"/>
        <v>31900.65683258092</v>
      </c>
      <c r="O98" s="109">
        <f t="shared" si="17"/>
        <v>32234.72515152744</v>
      </c>
      <c r="P98" s="109">
        <f t="shared" si="17"/>
        <v>32568.79347047396</v>
      </c>
      <c r="Q98" s="109">
        <f t="shared" si="17"/>
        <v>32902.861789420363</v>
      </c>
      <c r="R98" s="109">
        <f t="shared" si="17"/>
        <v>33236.930108366883</v>
      </c>
      <c r="S98" s="109">
        <f t="shared" si="17"/>
        <v>33570.998427313287</v>
      </c>
      <c r="T98" s="109">
        <f t="shared" si="17"/>
        <v>33905.066746259807</v>
      </c>
      <c r="U98" s="109">
        <f t="shared" si="17"/>
        <v>34239.135065206327</v>
      </c>
      <c r="V98" s="109">
        <f t="shared" si="17"/>
        <v>34573.20338415273</v>
      </c>
      <c r="W98" s="109">
        <f t="shared" si="17"/>
        <v>34907.27170309925</v>
      </c>
      <c r="X98" s="109">
        <f t="shared" si="17"/>
        <v>35241.34002204577</v>
      </c>
      <c r="Y98" s="109">
        <f t="shared" si="17"/>
        <v>35575.408340992173</v>
      </c>
      <c r="Z98" s="109">
        <f t="shared" si="17"/>
        <v>35909.476659938693</v>
      </c>
    </row>
    <row r="99" spans="1:26" x14ac:dyDescent="0.25">
      <c r="A99" s="118" t="s">
        <v>218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9">
        <f>(L97-L98)/L98</f>
        <v>3.445435593675274E-3</v>
      </c>
      <c r="M99" s="119">
        <f t="shared" ref="M99:Z99" si="18">(M97-M98)/M98</f>
        <v>3.4387624190708142E-3</v>
      </c>
      <c r="N99" s="119">
        <f t="shared" si="18"/>
        <v>3.5444855627828221E-3</v>
      </c>
      <c r="O99" s="119">
        <f t="shared" si="18"/>
        <v>3.7602980525290428E-3</v>
      </c>
      <c r="P99" s="119">
        <f t="shared" si="18"/>
        <v>4.0840001331641134E-3</v>
      </c>
      <c r="Q99" s="119">
        <f t="shared" si="18"/>
        <v>4.5134939566369766E-3</v>
      </c>
      <c r="R99" s="119">
        <f t="shared" si="18"/>
        <v>5.0467785935856633E-3</v>
      </c>
      <c r="S99" s="119">
        <f t="shared" si="18"/>
        <v>5.6819453442151511E-3</v>
      </c>
      <c r="T99" s="119">
        <f t="shared" si="18"/>
        <v>6.4171733277461149E-3</v>
      </c>
      <c r="U99" s="119">
        <f t="shared" si="18"/>
        <v>7.2507253315227853E-3</v>
      </c>
      <c r="V99" s="119">
        <f t="shared" si="18"/>
        <v>8.1809439021522726E-3</v>
      </c>
      <c r="W99" s="119">
        <f t="shared" si="18"/>
        <v>9.2062476625043473E-3</v>
      </c>
      <c r="X99" s="119">
        <f t="shared" si="18"/>
        <v>1.032512783963406E-2</v>
      </c>
      <c r="Y99" s="119">
        <f t="shared" si="18"/>
        <v>1.1536144989715365E-2</v>
      </c>
      <c r="Z99" s="119">
        <f t="shared" si="18"/>
        <v>1.2837925907201602E-2</v>
      </c>
    </row>
    <row r="121" spans="2:24" x14ac:dyDescent="0.25">
      <c r="B121" s="3" t="s">
        <v>243</v>
      </c>
    </row>
    <row r="127" spans="2:24" ht="15.75" x14ac:dyDescent="0.25">
      <c r="C127" s="158" t="s">
        <v>87</v>
      </c>
      <c r="D127" s="158"/>
      <c r="E127" s="158"/>
      <c r="F127" s="159"/>
      <c r="G127" s="11">
        <v>2013</v>
      </c>
      <c r="H127" s="11">
        <v>2014</v>
      </c>
      <c r="I127" s="11">
        <v>2015</v>
      </c>
      <c r="J127" s="11">
        <v>2016</v>
      </c>
      <c r="K127" s="11">
        <v>2017</v>
      </c>
      <c r="L127" s="11">
        <v>2018</v>
      </c>
      <c r="M127" s="11">
        <v>2019</v>
      </c>
      <c r="N127" s="11">
        <v>2020</v>
      </c>
      <c r="O127" s="11">
        <v>2021</v>
      </c>
      <c r="P127" s="11">
        <v>2022</v>
      </c>
      <c r="Q127" s="11">
        <v>2023</v>
      </c>
      <c r="R127" s="11">
        <v>2024</v>
      </c>
      <c r="S127" s="11">
        <v>2025</v>
      </c>
      <c r="T127" s="11">
        <v>2026</v>
      </c>
      <c r="U127" s="11">
        <v>2027</v>
      </c>
      <c r="V127" s="11">
        <v>2028</v>
      </c>
      <c r="W127" s="11">
        <v>2029</v>
      </c>
      <c r="X127" s="11">
        <v>2030</v>
      </c>
    </row>
    <row r="128" spans="2:24" ht="18" x14ac:dyDescent="0.25">
      <c r="C128" s="24" t="s">
        <v>96</v>
      </c>
      <c r="D128" s="27"/>
      <c r="E128" s="30"/>
      <c r="F128" s="30" t="s">
        <v>102</v>
      </c>
      <c r="G128" s="23">
        <v>129.05427762134357</v>
      </c>
      <c r="H128" s="23">
        <v>120.41609668320018</v>
      </c>
      <c r="I128" s="23">
        <v>125.12442833367319</v>
      </c>
      <c r="J128" s="23">
        <v>121.91910217588698</v>
      </c>
      <c r="K128" s="23">
        <v>126.33983503206156</v>
      </c>
      <c r="L128" s="23">
        <v>129.76701694124776</v>
      </c>
      <c r="M128" s="23">
        <v>132.89211308662595</v>
      </c>
      <c r="N128" s="23">
        <v>136.68338355314179</v>
      </c>
      <c r="O128" s="23">
        <v>140.31732583051632</v>
      </c>
      <c r="P128" s="23">
        <v>144.1472873801051</v>
      </c>
      <c r="Q128" s="23">
        <v>147.9984177707519</v>
      </c>
      <c r="R128" s="23">
        <v>152.31464445793205</v>
      </c>
      <c r="S128" s="23">
        <v>156.86867511635936</v>
      </c>
      <c r="T128" s="23">
        <v>161.50983673623102</v>
      </c>
      <c r="U128" s="23">
        <v>166.14002592737219</v>
      </c>
      <c r="V128" s="23">
        <v>171.08294285339315</v>
      </c>
      <c r="W128" s="23">
        <v>175.93428840057692</v>
      </c>
      <c r="X128" s="23">
        <v>180.94124568055722</v>
      </c>
    </row>
    <row r="129" spans="3:26" ht="18" x14ac:dyDescent="0.25">
      <c r="C129" s="25" t="s">
        <v>97</v>
      </c>
      <c r="D129" s="28"/>
      <c r="E129" s="30"/>
      <c r="F129" s="30" t="s">
        <v>102</v>
      </c>
      <c r="G129" s="23">
        <v>668.54404701163514</v>
      </c>
      <c r="H129" s="23">
        <v>670.01446097704923</v>
      </c>
      <c r="I129" s="23">
        <v>683</v>
      </c>
      <c r="J129" s="23">
        <v>709.27570839621001</v>
      </c>
      <c r="K129" s="23">
        <v>719.80002859438764</v>
      </c>
      <c r="L129" s="23">
        <v>736.18603462021167</v>
      </c>
      <c r="M129" s="23">
        <v>748.9011788521068</v>
      </c>
      <c r="N129" s="23">
        <v>763.05743242533697</v>
      </c>
      <c r="O129" s="23">
        <v>779.01032226322764</v>
      </c>
      <c r="P129" s="23">
        <v>796.9359770920546</v>
      </c>
      <c r="Q129" s="23">
        <v>815.55621198711628</v>
      </c>
      <c r="R129" s="23">
        <v>834.46369794128725</v>
      </c>
      <c r="S129" s="23">
        <v>851.84781575126704</v>
      </c>
      <c r="T129" s="23">
        <v>874.78573147240547</v>
      </c>
      <c r="U129" s="23">
        <v>893.14903406932729</v>
      </c>
      <c r="V129" s="23">
        <v>911.31226595416615</v>
      </c>
      <c r="W129" s="23">
        <v>930.70400418015709</v>
      </c>
      <c r="X129" s="23">
        <v>950.65579614647106</v>
      </c>
    </row>
    <row r="130" spans="3:26" ht="18" x14ac:dyDescent="0.35">
      <c r="C130" s="24" t="s">
        <v>133</v>
      </c>
      <c r="D130" s="27"/>
      <c r="E130" s="29"/>
      <c r="F130" s="29" t="s">
        <v>101</v>
      </c>
      <c r="G130" s="23">
        <f>1000*G128</f>
        <v>129054.27762134357</v>
      </c>
      <c r="H130" s="120">
        <f>1000*H128</f>
        <v>120416.09668320019</v>
      </c>
      <c r="I130" s="23">
        <f t="shared" ref="I130:X130" si="19">1000*I128</f>
        <v>125124.42833367319</v>
      </c>
      <c r="J130" s="23">
        <f t="shared" si="19"/>
        <v>121919.10217588698</v>
      </c>
      <c r="K130" s="23">
        <f t="shared" si="19"/>
        <v>126339.83503206156</v>
      </c>
      <c r="L130" s="23">
        <f t="shared" si="19"/>
        <v>129767.01694124776</v>
      </c>
      <c r="M130" s="23">
        <f t="shared" si="19"/>
        <v>132892.11308662596</v>
      </c>
      <c r="N130" s="23">
        <f t="shared" si="19"/>
        <v>136683.38355314179</v>
      </c>
      <c r="O130" s="23">
        <f t="shared" si="19"/>
        <v>140317.32583051632</v>
      </c>
      <c r="P130" s="23">
        <f t="shared" si="19"/>
        <v>144147.28738010509</v>
      </c>
      <c r="Q130" s="23">
        <f t="shared" si="19"/>
        <v>147998.4177707519</v>
      </c>
      <c r="R130" s="23">
        <f t="shared" si="19"/>
        <v>152314.64445793204</v>
      </c>
      <c r="S130" s="23">
        <f t="shared" si="19"/>
        <v>156868.67511635934</v>
      </c>
      <c r="T130" s="23">
        <f t="shared" si="19"/>
        <v>161509.83673623102</v>
      </c>
      <c r="U130" s="23">
        <f t="shared" si="19"/>
        <v>166140.02592737219</v>
      </c>
      <c r="V130" s="23">
        <f t="shared" si="19"/>
        <v>171082.94285339315</v>
      </c>
      <c r="W130" s="23">
        <f t="shared" si="19"/>
        <v>175934.28840057692</v>
      </c>
      <c r="X130" s="23">
        <f t="shared" si="19"/>
        <v>180941.24568055721</v>
      </c>
    </row>
    <row r="131" spans="3:26" ht="18" x14ac:dyDescent="0.35">
      <c r="C131" s="25" t="s">
        <v>97</v>
      </c>
      <c r="D131" s="28"/>
      <c r="E131" s="29"/>
      <c r="F131" s="29" t="s">
        <v>101</v>
      </c>
      <c r="G131" s="23">
        <f>1000*G129</f>
        <v>668544.04701163515</v>
      </c>
      <c r="H131" s="120">
        <f>1000*H129</f>
        <v>670014.4609770492</v>
      </c>
      <c r="I131" s="23">
        <f t="shared" ref="I131:X131" si="20">1000*I129</f>
        <v>683000</v>
      </c>
      <c r="J131" s="23">
        <f t="shared" si="20"/>
        <v>709275.70839620999</v>
      </c>
      <c r="K131" s="23">
        <f t="shared" si="20"/>
        <v>719800.0285943877</v>
      </c>
      <c r="L131" s="23">
        <f>1000*L129</f>
        <v>736186.03462021169</v>
      </c>
      <c r="M131" s="23">
        <f t="shared" si="20"/>
        <v>748901.17885210679</v>
      </c>
      <c r="N131" s="23">
        <f t="shared" si="20"/>
        <v>763057.43242533691</v>
      </c>
      <c r="O131" s="23">
        <f t="shared" si="20"/>
        <v>779010.32226322766</v>
      </c>
      <c r="P131" s="23">
        <f t="shared" si="20"/>
        <v>796935.97709205456</v>
      </c>
      <c r="Q131" s="23">
        <f t="shared" si="20"/>
        <v>815556.21198711626</v>
      </c>
      <c r="R131" s="23">
        <f t="shared" si="20"/>
        <v>834463.6979412873</v>
      </c>
      <c r="S131" s="23">
        <f t="shared" si="20"/>
        <v>851847.81575126702</v>
      </c>
      <c r="T131" s="23">
        <f t="shared" si="20"/>
        <v>874785.73147240549</v>
      </c>
      <c r="U131" s="23">
        <f t="shared" si="20"/>
        <v>893149.03406932729</v>
      </c>
      <c r="V131" s="23">
        <f t="shared" si="20"/>
        <v>911312.26595416619</v>
      </c>
      <c r="W131" s="23">
        <f t="shared" si="20"/>
        <v>930704.00418015709</v>
      </c>
      <c r="X131" s="23">
        <f t="shared" si="20"/>
        <v>950655.79614647105</v>
      </c>
    </row>
    <row r="132" spans="3:26" x14ac:dyDescent="0.25">
      <c r="G132" s="3" t="s">
        <v>88</v>
      </c>
      <c r="H132" s="3" t="s">
        <v>91</v>
      </c>
      <c r="I132" s="3" t="s">
        <v>99</v>
      </c>
      <c r="J132" s="26" t="s">
        <v>98</v>
      </c>
      <c r="K132" s="3" t="s">
        <v>100</v>
      </c>
    </row>
    <row r="133" spans="3:26" x14ac:dyDescent="0.25">
      <c r="H133" s="3" t="s">
        <v>89</v>
      </c>
      <c r="I133" s="3" t="s">
        <v>90</v>
      </c>
    </row>
    <row r="134" spans="3:26" x14ac:dyDescent="0.25">
      <c r="H134" s="3" t="s">
        <v>92</v>
      </c>
      <c r="I134" s="3" t="s">
        <v>93</v>
      </c>
    </row>
    <row r="135" spans="3:26" x14ac:dyDescent="0.25">
      <c r="H135" s="3" t="s">
        <v>94</v>
      </c>
      <c r="I135" s="3" t="s">
        <v>95</v>
      </c>
    </row>
    <row r="137" spans="3:26" ht="15.75" x14ac:dyDescent="0.25">
      <c r="C137" s="158" t="s">
        <v>149</v>
      </c>
      <c r="D137" s="158"/>
      <c r="E137" s="158"/>
      <c r="F137" s="159"/>
      <c r="G137" s="11">
        <v>2013</v>
      </c>
      <c r="H137" s="11">
        <v>2014</v>
      </c>
      <c r="I137" s="11">
        <v>2015</v>
      </c>
      <c r="J137" s="11">
        <v>2016</v>
      </c>
      <c r="K137" s="11">
        <v>2017</v>
      </c>
      <c r="L137" s="11">
        <v>2018</v>
      </c>
      <c r="M137" s="11">
        <v>2019</v>
      </c>
      <c r="N137" s="11">
        <v>2020</v>
      </c>
      <c r="O137" s="11">
        <v>2021</v>
      </c>
      <c r="P137" s="11">
        <v>2022</v>
      </c>
      <c r="Q137" s="11">
        <v>2023</v>
      </c>
      <c r="R137" s="11">
        <v>2024</v>
      </c>
      <c r="S137" s="11">
        <v>2025</v>
      </c>
      <c r="T137" s="11">
        <v>2026</v>
      </c>
      <c r="U137" s="11">
        <v>2027</v>
      </c>
      <c r="V137" s="11">
        <v>2028</v>
      </c>
      <c r="W137" s="11">
        <v>2029</v>
      </c>
      <c r="X137" s="11">
        <v>2030</v>
      </c>
      <c r="Y137" s="11">
        <v>2031</v>
      </c>
      <c r="Z137" s="11">
        <v>2032</v>
      </c>
    </row>
    <row r="138" spans="3:26" ht="18" x14ac:dyDescent="0.35">
      <c r="C138" s="43" t="s">
        <v>220</v>
      </c>
      <c r="D138" s="43"/>
      <c r="E138" s="43"/>
      <c r="F138" s="123" t="s">
        <v>101</v>
      </c>
      <c r="G138" s="122">
        <f>'Tabla Resumen Prioritarias'!B39</f>
        <v>29717.490613996521</v>
      </c>
      <c r="H138" s="122">
        <f>'Tabla Resumen Prioritarias'!C39</f>
        <v>29893.679334214517</v>
      </c>
      <c r="I138" s="122">
        <f>'Tabla Resumen Prioritarias'!D39</f>
        <v>29879.726823456273</v>
      </c>
      <c r="J138" s="122">
        <f>'Tabla Resumen Prioritarias'!E39</f>
        <v>30652.015083478462</v>
      </c>
      <c r="K138" s="122">
        <f>'Tabla Resumen Prioritarias'!F39</f>
        <v>31008.664334096939</v>
      </c>
      <c r="L138" s="122">
        <f>'Tabla Resumen Prioritarias'!G39</f>
        <v>31592.750784180451</v>
      </c>
      <c r="M138" s="122">
        <f>'Tabla Resumen Prioritarias'!H39</f>
        <v>35890.513171174913</v>
      </c>
      <c r="N138" s="122">
        <f>'Tabla Resumen Prioritarias'!I39</f>
        <v>36314.417145096158</v>
      </c>
      <c r="O138" s="122">
        <f>'Tabla Resumen Prioritarias'!J39</f>
        <v>37312.688355668339</v>
      </c>
      <c r="P138" s="122">
        <f>'Tabla Resumen Prioritarias'!K39</f>
        <v>37864.269993946138</v>
      </c>
      <c r="Q138" s="122">
        <f>'Tabla Resumen Prioritarias'!L39</f>
        <v>35821.255111464532</v>
      </c>
      <c r="R138" s="122">
        <f>'Tabla Resumen Prioritarias'!M39</f>
        <v>36647.46080504686</v>
      </c>
      <c r="S138" s="122">
        <f>'Tabla Resumen Prioritarias'!N39</f>
        <v>37295.77274863451</v>
      </c>
      <c r="T138" s="122">
        <f>'Tabla Resumen Prioritarias'!O39</f>
        <v>38014.175260754542</v>
      </c>
      <c r="U138" s="122">
        <f>'Tabla Resumen Prioritarias'!P39</f>
        <v>40537.802111416633</v>
      </c>
      <c r="V138" s="122">
        <f>'Tabla Resumen Prioritarias'!Q39</f>
        <v>39764.175698595587</v>
      </c>
      <c r="W138" s="122">
        <f>'Tabla Resumen Prioritarias'!R39</f>
        <v>40597.4885152309</v>
      </c>
      <c r="X138" s="122">
        <f>'Tabla Resumen Prioritarias'!S39</f>
        <v>41889.796922070724</v>
      </c>
      <c r="Y138" s="122">
        <f>'Tabla Resumen Prioritarias'!T39</f>
        <v>42867.813752992908</v>
      </c>
      <c r="Z138" s="122">
        <f>'Tabla Resumen Prioritarias'!U39</f>
        <v>43866.386104038269</v>
      </c>
    </row>
    <row r="139" spans="3:26" x14ac:dyDescent="0.25">
      <c r="C139" s="115"/>
      <c r="D139" s="115"/>
      <c r="E139" s="115"/>
      <c r="F139" s="115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3:26" x14ac:dyDescent="0.25">
      <c r="C140" s="3" t="s">
        <v>112</v>
      </c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3:26" x14ac:dyDescent="0.25">
      <c r="C141" s="161" t="s">
        <v>103</v>
      </c>
      <c r="D141" s="161"/>
      <c r="E141" s="31" t="s">
        <v>104</v>
      </c>
      <c r="F141" s="35"/>
      <c r="G141" s="31">
        <v>2013</v>
      </c>
      <c r="H141" s="31" t="s">
        <v>105</v>
      </c>
      <c r="I141" s="31" t="s">
        <v>106</v>
      </c>
      <c r="J141" s="31" t="s">
        <v>107</v>
      </c>
      <c r="K141" s="31" t="s">
        <v>108</v>
      </c>
    </row>
    <row r="142" spans="3:26" x14ac:dyDescent="0.25">
      <c r="C142" s="160" t="s">
        <v>109</v>
      </c>
      <c r="D142" s="160"/>
      <c r="E142" s="34" t="s">
        <v>113</v>
      </c>
      <c r="F142" s="32"/>
      <c r="G142" s="33">
        <v>5437948.1976398947</v>
      </c>
      <c r="H142" s="33">
        <v>6071302.9685321879</v>
      </c>
      <c r="I142" s="33">
        <v>5567265.4035859881</v>
      </c>
      <c r="J142" s="33">
        <v>5175267.043914143</v>
      </c>
      <c r="K142" s="33">
        <v>5248683.6690416913</v>
      </c>
    </row>
    <row r="143" spans="3:26" x14ac:dyDescent="0.25">
      <c r="C143" s="160" t="s">
        <v>110</v>
      </c>
      <c r="D143" s="160"/>
      <c r="E143" s="34" t="s">
        <v>113</v>
      </c>
      <c r="F143" s="32"/>
      <c r="G143" s="33">
        <v>76705.049356331598</v>
      </c>
      <c r="H143" s="33">
        <v>459.31167279240481</v>
      </c>
      <c r="I143" s="33">
        <v>459.31167279240481</v>
      </c>
      <c r="J143" s="33">
        <v>765.51945465400809</v>
      </c>
      <c r="K143" s="33">
        <v>765.51945465400809</v>
      </c>
    </row>
    <row r="144" spans="3:26" x14ac:dyDescent="0.25">
      <c r="C144" s="160" t="s">
        <v>111</v>
      </c>
      <c r="D144" s="160"/>
      <c r="E144" s="34" t="s">
        <v>113</v>
      </c>
      <c r="F144" s="32"/>
      <c r="G144" s="33">
        <v>1138263.3117934407</v>
      </c>
      <c r="H144" s="33">
        <v>617123.15516318241</v>
      </c>
      <c r="I144" s="33">
        <v>357491.86333853897</v>
      </c>
      <c r="J144" s="33">
        <v>200344.70709069993</v>
      </c>
      <c r="K144" s="33">
        <v>112276.68592067597</v>
      </c>
    </row>
    <row r="145" spans="3:26" x14ac:dyDescent="0.25">
      <c r="C145" s="3" t="s">
        <v>114</v>
      </c>
      <c r="D145" s="3" t="s">
        <v>115</v>
      </c>
    </row>
    <row r="147" spans="3:26" x14ac:dyDescent="0.25">
      <c r="C147" s="161" t="s">
        <v>103</v>
      </c>
      <c r="D147" s="161"/>
      <c r="E147" s="31" t="s">
        <v>104</v>
      </c>
      <c r="F147" s="35"/>
      <c r="G147" s="31">
        <v>2013</v>
      </c>
      <c r="H147" s="124">
        <v>2014</v>
      </c>
      <c r="I147" s="124">
        <v>2015</v>
      </c>
      <c r="J147" s="124">
        <v>2016</v>
      </c>
      <c r="K147" s="124">
        <v>2017</v>
      </c>
      <c r="L147" s="124">
        <v>2018</v>
      </c>
      <c r="M147" s="124">
        <v>2019</v>
      </c>
      <c r="N147" s="124">
        <v>2020</v>
      </c>
      <c r="O147" s="124">
        <v>2021</v>
      </c>
      <c r="P147" s="124">
        <v>2022</v>
      </c>
      <c r="Q147" s="124">
        <v>2023</v>
      </c>
      <c r="R147" s="124">
        <v>2024</v>
      </c>
      <c r="S147" s="124">
        <v>2025</v>
      </c>
      <c r="T147" s="124">
        <v>2026</v>
      </c>
      <c r="U147" s="124">
        <v>2027</v>
      </c>
      <c r="V147" s="124">
        <v>2028</v>
      </c>
      <c r="W147" s="124">
        <v>2029</v>
      </c>
      <c r="X147" s="124">
        <v>2030</v>
      </c>
      <c r="Y147" s="124">
        <v>2031</v>
      </c>
      <c r="Z147" s="124">
        <v>2032</v>
      </c>
    </row>
    <row r="148" spans="3:26" ht="18" x14ac:dyDescent="0.35">
      <c r="C148" s="160" t="s">
        <v>109</v>
      </c>
      <c r="D148" s="160"/>
      <c r="E148" s="36" t="s">
        <v>101</v>
      </c>
      <c r="F148" s="32"/>
      <c r="G148" s="33">
        <f>G142/1000</f>
        <v>5437.9481976398947</v>
      </c>
      <c r="H148" s="33">
        <f t="shared" ref="H148:K148" si="21">H142/1000</f>
        <v>6071.3029685321881</v>
      </c>
      <c r="I148" s="33">
        <f t="shared" si="21"/>
        <v>5567.2654035859878</v>
      </c>
      <c r="J148" s="33">
        <f t="shared" si="21"/>
        <v>5175.267043914143</v>
      </c>
      <c r="K148" s="33">
        <f t="shared" si="21"/>
        <v>5248.6836690416912</v>
      </c>
    </row>
    <row r="149" spans="3:26" ht="18" x14ac:dyDescent="0.35">
      <c r="C149" s="160" t="s">
        <v>110</v>
      </c>
      <c r="D149" s="160"/>
      <c r="E149" s="36" t="s">
        <v>101</v>
      </c>
      <c r="F149" s="32"/>
      <c r="G149" s="33">
        <f t="shared" ref="G149:K149" si="22">G143/1000</f>
        <v>76.7050493563316</v>
      </c>
      <c r="H149" s="33">
        <f t="shared" si="22"/>
        <v>0.45931167279240481</v>
      </c>
      <c r="I149" s="33">
        <f t="shared" si="22"/>
        <v>0.45931167279240481</v>
      </c>
      <c r="J149" s="33">
        <f t="shared" si="22"/>
        <v>0.76551945465400806</v>
      </c>
      <c r="K149" s="33">
        <f t="shared" si="22"/>
        <v>0.76551945465400806</v>
      </c>
    </row>
    <row r="150" spans="3:26" ht="18" x14ac:dyDescent="0.35">
      <c r="C150" s="160" t="s">
        <v>111</v>
      </c>
      <c r="D150" s="160"/>
      <c r="E150" s="36" t="s">
        <v>101</v>
      </c>
      <c r="F150" s="32"/>
      <c r="G150" s="33">
        <f t="shared" ref="G150:K150" si="23">G144/1000</f>
        <v>1138.2633117934406</v>
      </c>
      <c r="H150" s="33">
        <f t="shared" si="23"/>
        <v>617.12315516318245</v>
      </c>
      <c r="I150" s="33">
        <f t="shared" si="23"/>
        <v>357.49186333853896</v>
      </c>
      <c r="J150" s="33">
        <f t="shared" si="23"/>
        <v>200.34470709069993</v>
      </c>
      <c r="K150" s="33">
        <f t="shared" si="23"/>
        <v>112.27668592067597</v>
      </c>
    </row>
    <row r="151" spans="3:26" ht="18" x14ac:dyDescent="0.35">
      <c r="C151" s="32" t="s">
        <v>132</v>
      </c>
      <c r="D151" s="32"/>
      <c r="E151" s="36" t="s">
        <v>101</v>
      </c>
      <c r="F151" s="37"/>
      <c r="G151" s="38">
        <f>SUM(G148:G150)</f>
        <v>6652.9165587896678</v>
      </c>
      <c r="H151" s="38">
        <f t="shared" ref="H151:K151" si="24">SUM(H148:H150)</f>
        <v>6688.8854353681627</v>
      </c>
      <c r="I151" s="38">
        <f t="shared" si="24"/>
        <v>5925.2165785973184</v>
      </c>
      <c r="J151" s="38">
        <f t="shared" si="24"/>
        <v>5376.3772704594967</v>
      </c>
      <c r="K151" s="38">
        <f t="shared" si="24"/>
        <v>5361.7258744170213</v>
      </c>
      <c r="L151" s="39">
        <f>K151+L152</f>
        <v>5361.7258744170213</v>
      </c>
      <c r="M151" s="39">
        <f>L151+M152</f>
        <v>8112.0788744170213</v>
      </c>
      <c r="N151" s="39">
        <f>M151+N152</f>
        <v>8112.0788744170213</v>
      </c>
      <c r="O151" s="39">
        <f t="shared" ref="O151:Z151" si="25">N151+O152</f>
        <v>8418.4788744170219</v>
      </c>
      <c r="P151" s="39">
        <f t="shared" si="25"/>
        <v>8418.4788744170219</v>
      </c>
      <c r="Q151" s="39">
        <f>P151+Q152</f>
        <v>5979.1628744170221</v>
      </c>
      <c r="R151" s="39">
        <f t="shared" si="25"/>
        <v>5979.1628744170221</v>
      </c>
      <c r="S151" s="39">
        <f t="shared" si="25"/>
        <v>5979.1628744170221</v>
      </c>
      <c r="T151" s="39">
        <f t="shared" si="25"/>
        <v>5979.1628744170221</v>
      </c>
      <c r="U151" s="39">
        <f t="shared" si="25"/>
        <v>7343.7258744170222</v>
      </c>
      <c r="V151" s="39">
        <f t="shared" si="25"/>
        <v>5762.0958744170221</v>
      </c>
      <c r="W151" s="39">
        <f t="shared" si="25"/>
        <v>5762.0958744170221</v>
      </c>
      <c r="X151" s="39">
        <f t="shared" si="25"/>
        <v>5762.0958744170221</v>
      </c>
      <c r="Y151" s="39">
        <f t="shared" si="25"/>
        <v>5762.0958744170221</v>
      </c>
      <c r="Z151" s="39">
        <f t="shared" si="25"/>
        <v>5762.0958744170221</v>
      </c>
    </row>
    <row r="152" spans="3:26" ht="18" x14ac:dyDescent="0.35">
      <c r="C152" s="32" t="s">
        <v>116</v>
      </c>
      <c r="D152" s="32"/>
      <c r="E152" s="36" t="s">
        <v>101</v>
      </c>
      <c r="F152" s="32"/>
      <c r="G152" s="32"/>
      <c r="H152" s="32"/>
      <c r="I152" s="32"/>
      <c r="J152" s="32"/>
      <c r="K152" s="32"/>
      <c r="L152" s="32"/>
      <c r="M152" s="32">
        <v>2750.3530000000001</v>
      </c>
      <c r="N152" s="32"/>
      <c r="O152" s="32">
        <v>306.39999999999998</v>
      </c>
      <c r="P152" s="32"/>
      <c r="Q152" s="32">
        <v>-2439.3159999999998</v>
      </c>
      <c r="R152" s="32"/>
      <c r="S152" s="32"/>
      <c r="T152" s="32"/>
      <c r="U152" s="32">
        <v>1364.5630000000001</v>
      </c>
      <c r="V152" s="32">
        <v>-1581.63</v>
      </c>
      <c r="W152" s="32"/>
      <c r="X152" s="32"/>
      <c r="Y152" s="32"/>
      <c r="Z152" s="32"/>
    </row>
  </sheetData>
  <mergeCells count="91">
    <mergeCell ref="A97:F97"/>
    <mergeCell ref="A96:F96"/>
    <mergeCell ref="A93:F93"/>
    <mergeCell ref="A98:F98"/>
    <mergeCell ref="C127:F127"/>
    <mergeCell ref="C137:F137"/>
    <mergeCell ref="C149:D149"/>
    <mergeCell ref="C150:D150"/>
    <mergeCell ref="C141:D141"/>
    <mergeCell ref="C142:D142"/>
    <mergeCell ref="C143:D143"/>
    <mergeCell ref="C144:D144"/>
    <mergeCell ref="C147:D147"/>
    <mergeCell ref="C148:D148"/>
    <mergeCell ref="A20:F20"/>
    <mergeCell ref="A21:F21"/>
    <mergeCell ref="A22:F22"/>
    <mergeCell ref="A23:F23"/>
    <mergeCell ref="A27:F27"/>
    <mergeCell ref="A24:F24"/>
    <mergeCell ref="A25:F25"/>
    <mergeCell ref="A26:F26"/>
    <mergeCell ref="A14:F14"/>
    <mergeCell ref="A15:F15"/>
    <mergeCell ref="A17:F17"/>
    <mergeCell ref="A18:F18"/>
    <mergeCell ref="A19:F19"/>
    <mergeCell ref="A32:F32"/>
    <mergeCell ref="A28:F28"/>
    <mergeCell ref="A29:F29"/>
    <mergeCell ref="A30:F30"/>
    <mergeCell ref="A31:F31"/>
    <mergeCell ref="A33:F33"/>
    <mergeCell ref="A34:F34"/>
    <mergeCell ref="A35:F35"/>
    <mergeCell ref="A36:F36"/>
    <mergeCell ref="A37:F37"/>
    <mergeCell ref="A38:F38"/>
    <mergeCell ref="A43:F43"/>
    <mergeCell ref="A44:F44"/>
    <mergeCell ref="A45:F45"/>
    <mergeCell ref="A46:F46"/>
    <mergeCell ref="A39:F39"/>
    <mergeCell ref="A40:F40"/>
    <mergeCell ref="A41:F41"/>
    <mergeCell ref="A42:F42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72:F72"/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7:F77"/>
    <mergeCell ref="A78:F78"/>
    <mergeCell ref="A90:F90"/>
    <mergeCell ref="A91:F91"/>
    <mergeCell ref="A84:F84"/>
    <mergeCell ref="A85:F85"/>
    <mergeCell ref="A86:F86"/>
    <mergeCell ref="A87:F87"/>
    <mergeCell ref="A88:F88"/>
    <mergeCell ref="A89:F89"/>
    <mergeCell ref="A79:F79"/>
    <mergeCell ref="A80:F80"/>
    <mergeCell ref="A81:F81"/>
    <mergeCell ref="A82:F82"/>
    <mergeCell ref="A83:F8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B2CA-C789-4641-958E-DC2CE9B38ACC}">
  <sheetPr codeName="Sheet2"/>
  <dimension ref="A3:W121"/>
  <sheetViews>
    <sheetView topLeftCell="A31" zoomScaleNormal="100" workbookViewId="0">
      <selection activeCell="G29" sqref="G29"/>
    </sheetView>
  </sheetViews>
  <sheetFormatPr baseColWidth="10" defaultColWidth="9.140625" defaultRowHeight="15" x14ac:dyDescent="0.25"/>
  <cols>
    <col min="1" max="1" width="52.7109375" customWidth="1"/>
    <col min="2" max="23" width="11.42578125" customWidth="1"/>
  </cols>
  <sheetData>
    <row r="3" spans="1:6" x14ac:dyDescent="0.25">
      <c r="B3" s="40"/>
      <c r="C3" s="40"/>
      <c r="D3" s="40"/>
      <c r="E3" s="40"/>
      <c r="F3" s="40"/>
    </row>
    <row r="7" spans="1:6" x14ac:dyDescent="0.25">
      <c r="A7" s="48" t="s">
        <v>139</v>
      </c>
      <c r="B7" s="46">
        <v>29717.490613996521</v>
      </c>
      <c r="C7" s="46">
        <v>29893.679334214514</v>
      </c>
      <c r="D7" s="46">
        <v>29879.72682345628</v>
      </c>
      <c r="E7" s="46">
        <v>30652.015083478462</v>
      </c>
      <c r="F7" s="46">
        <v>31008.664334096931</v>
      </c>
    </row>
    <row r="10" spans="1:6" ht="18" x14ac:dyDescent="0.35">
      <c r="A10" s="42" t="s">
        <v>235</v>
      </c>
      <c r="B10" s="42"/>
      <c r="C10" s="42"/>
      <c r="D10" s="42"/>
      <c r="E10" s="42"/>
      <c r="F10" s="42"/>
    </row>
    <row r="13" spans="1:6" x14ac:dyDescent="0.25">
      <c r="A13" s="139" t="s">
        <v>153</v>
      </c>
      <c r="B13" s="140">
        <v>2013</v>
      </c>
      <c r="C13" s="140">
        <v>2014</v>
      </c>
      <c r="D13" s="140">
        <v>2015</v>
      </c>
      <c r="E13" s="140">
        <v>2016</v>
      </c>
      <c r="F13" s="140">
        <v>2017</v>
      </c>
    </row>
    <row r="14" spans="1:6" x14ac:dyDescent="0.25">
      <c r="A14" s="49" t="s">
        <v>15</v>
      </c>
      <c r="B14" s="51">
        <v>7455.9975583291443</v>
      </c>
      <c r="C14" s="51">
        <v>7571.1309101920633</v>
      </c>
      <c r="D14" s="51">
        <v>6802.5087638073956</v>
      </c>
      <c r="E14" s="51">
        <v>6138.4415293878492</v>
      </c>
      <c r="F14" s="51">
        <v>6128.9641910759028</v>
      </c>
    </row>
    <row r="15" spans="1:6" x14ac:dyDescent="0.25">
      <c r="A15" s="45" t="s">
        <v>19</v>
      </c>
      <c r="B15" s="51">
        <v>6429.37725684211</v>
      </c>
      <c r="C15" s="51">
        <v>6364.90990976585</v>
      </c>
      <c r="D15" s="51">
        <v>6824.49884192026</v>
      </c>
      <c r="E15" s="51">
        <v>6985.5019687943404</v>
      </c>
      <c r="F15" s="51">
        <v>6862.8105370773601</v>
      </c>
    </row>
    <row r="16" spans="1:6" x14ac:dyDescent="0.25">
      <c r="A16" s="45" t="s">
        <v>150</v>
      </c>
      <c r="B16" s="51">
        <v>3600.3411524080839</v>
      </c>
      <c r="C16" s="51">
        <v>3684.2695272366668</v>
      </c>
      <c r="D16" s="51">
        <v>3817.6399996797709</v>
      </c>
      <c r="E16" s="51">
        <v>4423.6938958774172</v>
      </c>
      <c r="F16" s="51">
        <v>4605.358367948681</v>
      </c>
    </row>
    <row r="17" spans="1:21" x14ac:dyDescent="0.25">
      <c r="A17" s="45" t="s">
        <v>151</v>
      </c>
      <c r="B17" s="51">
        <v>3237.0198383011998</v>
      </c>
      <c r="C17" s="51">
        <v>3315.9102162787999</v>
      </c>
      <c r="D17" s="51">
        <v>3479.1418364527999</v>
      </c>
      <c r="E17" s="51">
        <v>3860.5180900104001</v>
      </c>
      <c r="F17" s="51">
        <v>3960.1264578540004</v>
      </c>
    </row>
    <row r="18" spans="1:21" x14ac:dyDescent="0.25">
      <c r="A18" s="138" t="s">
        <v>16</v>
      </c>
      <c r="B18" s="51">
        <v>1830.1041703016547</v>
      </c>
      <c r="C18" s="51">
        <v>1814.4799327099774</v>
      </c>
      <c r="D18" s="51">
        <v>1435.0260239346042</v>
      </c>
      <c r="E18" s="51">
        <v>1993.2791637428973</v>
      </c>
      <c r="F18" s="51">
        <v>2147.0392392463536</v>
      </c>
    </row>
    <row r="19" spans="1:21" x14ac:dyDescent="0.25">
      <c r="A19" s="45" t="s">
        <v>152</v>
      </c>
      <c r="B19" s="51">
        <v>1468.5754723803298</v>
      </c>
      <c r="C19" s="51">
        <v>1510.8151927064257</v>
      </c>
      <c r="D19" s="51">
        <v>1429.2472290641933</v>
      </c>
      <c r="E19" s="51">
        <v>1618.9379021432314</v>
      </c>
      <c r="F19" s="51">
        <v>1573.1736216455197</v>
      </c>
    </row>
    <row r="20" spans="1:21" x14ac:dyDescent="0.25">
      <c r="A20" s="138" t="s">
        <v>22</v>
      </c>
      <c r="B20" s="51">
        <v>1567.6103073821278</v>
      </c>
      <c r="C20" s="51">
        <v>1393.8938718271511</v>
      </c>
      <c r="D20" s="51">
        <v>1518.8761076499006</v>
      </c>
      <c r="E20" s="51">
        <v>1506.3823539588132</v>
      </c>
      <c r="F20" s="51">
        <v>1476.0839361568537</v>
      </c>
    </row>
    <row r="21" spans="1:21" x14ac:dyDescent="0.25">
      <c r="A21" s="138" t="s">
        <v>84</v>
      </c>
      <c r="B21" s="51">
        <v>741.77356206533875</v>
      </c>
      <c r="C21" s="51">
        <v>748.67027959494419</v>
      </c>
      <c r="D21" s="51">
        <v>750.89796241684405</v>
      </c>
      <c r="E21" s="51">
        <v>745.33094712946661</v>
      </c>
      <c r="F21" s="51">
        <v>742.93230375857343</v>
      </c>
    </row>
    <row r="22" spans="1:21" x14ac:dyDescent="0.25">
      <c r="A22" s="45" t="s">
        <v>28</v>
      </c>
      <c r="B22" s="51">
        <v>564.00324504978244</v>
      </c>
      <c r="C22" s="51">
        <v>596.35701426014282</v>
      </c>
      <c r="D22" s="51">
        <v>645.49640887027363</v>
      </c>
      <c r="E22" s="51">
        <v>661.20134961005601</v>
      </c>
      <c r="F22" s="51">
        <v>677.89834770951029</v>
      </c>
    </row>
    <row r="23" spans="1:21" x14ac:dyDescent="0.25">
      <c r="A23" s="52" t="s">
        <v>154</v>
      </c>
      <c r="B23" s="51">
        <v>2822.6880509367461</v>
      </c>
      <c r="C23" s="51">
        <v>2893.2424796424939</v>
      </c>
      <c r="D23" s="51">
        <v>3176.393649660236</v>
      </c>
      <c r="E23" s="51">
        <v>2718.7278828239919</v>
      </c>
      <c r="F23" s="51">
        <v>2834.2773316241796</v>
      </c>
    </row>
    <row r="24" spans="1:21" x14ac:dyDescent="0.25">
      <c r="A24" s="52" t="s">
        <v>209</v>
      </c>
      <c r="B24" s="51">
        <f>SUM(B14:B23)</f>
        <v>29717.490613996521</v>
      </c>
      <c r="C24" s="51">
        <f t="shared" ref="C24:F24" si="0">SUM(C14:C23)</f>
        <v>29893.679334214517</v>
      </c>
      <c r="D24" s="51">
        <f t="shared" si="0"/>
        <v>29879.726823456273</v>
      </c>
      <c r="E24" s="51">
        <f t="shared" si="0"/>
        <v>30652.015083478462</v>
      </c>
      <c r="F24" s="51">
        <f t="shared" si="0"/>
        <v>31008.664334096939</v>
      </c>
    </row>
    <row r="25" spans="1:21" ht="31.15" customHeight="1" x14ac:dyDescent="0.25">
      <c r="A25" s="166"/>
      <c r="B25" s="166"/>
      <c r="C25" s="166"/>
      <c r="D25" s="166"/>
      <c r="E25" s="166"/>
      <c r="F25" s="166"/>
    </row>
    <row r="26" spans="1:21" x14ac:dyDescent="0.25">
      <c r="A26" s="64" t="s">
        <v>189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</row>
    <row r="28" spans="1:21" x14ac:dyDescent="0.25">
      <c r="A28" s="49" t="s">
        <v>153</v>
      </c>
      <c r="B28" s="50">
        <v>2013</v>
      </c>
      <c r="C28" s="50">
        <v>2014</v>
      </c>
      <c r="D28" s="50">
        <v>2015</v>
      </c>
      <c r="E28" s="50">
        <v>2016</v>
      </c>
      <c r="F28" s="50">
        <v>2017</v>
      </c>
      <c r="G28" s="47">
        <v>2018</v>
      </c>
      <c r="H28" s="47">
        <v>2019</v>
      </c>
      <c r="I28" s="47">
        <v>2020</v>
      </c>
      <c r="J28" s="47">
        <v>2021</v>
      </c>
      <c r="K28" s="47">
        <v>2022</v>
      </c>
      <c r="L28" s="47">
        <v>2023</v>
      </c>
      <c r="M28" s="47">
        <v>2024</v>
      </c>
      <c r="N28" s="47">
        <v>2025</v>
      </c>
      <c r="O28" s="47">
        <v>2026</v>
      </c>
      <c r="P28" s="47">
        <v>2027</v>
      </c>
      <c r="Q28" s="47">
        <v>2028</v>
      </c>
      <c r="R28" s="47">
        <v>2029</v>
      </c>
      <c r="S28" s="47">
        <v>2030</v>
      </c>
      <c r="T28" s="47">
        <v>2031</v>
      </c>
      <c r="U28" s="47">
        <v>2032</v>
      </c>
    </row>
    <row r="29" spans="1:21" x14ac:dyDescent="0.25">
      <c r="A29" s="49" t="str">
        <f>A14</f>
        <v>1A1a Actividad principal producción de electricidad y calor</v>
      </c>
      <c r="B29" s="51">
        <f>B14</f>
        <v>7455.9975583291443</v>
      </c>
      <c r="C29" s="51">
        <f t="shared" ref="B29:F38" si="1">C14</f>
        <v>7571.1309101920633</v>
      </c>
      <c r="D29" s="51">
        <f t="shared" si="1"/>
        <v>6802.5087638073956</v>
      </c>
      <c r="E29" s="51">
        <f t="shared" si="1"/>
        <v>6138.4415293878492</v>
      </c>
      <c r="F29" s="51">
        <f t="shared" si="1"/>
        <v>6128.9641910759028</v>
      </c>
      <c r="G29" s="96">
        <f>'Bases de proyeccion 1A1a'!G29</f>
        <v>6171.4914552248947</v>
      </c>
      <c r="H29" s="96">
        <f>'Bases de proyeccion 1A1a'!H29</f>
        <v>9639.3296586721845</v>
      </c>
      <c r="I29" s="96">
        <f>'Bases de proyeccion 1A1a'!I29</f>
        <v>9639.3296586721845</v>
      </c>
      <c r="J29" s="96">
        <f>'Bases de proyeccion 1A1a'!J29</f>
        <v>10097.1255753776</v>
      </c>
      <c r="K29" s="96">
        <f>'Bases de proyeccion 1A1a'!K29</f>
        <v>10103.800740889594</v>
      </c>
      <c r="L29" s="96">
        <f>'Bases de proyeccion 1A1a'!L29</f>
        <v>7461.9520400956835</v>
      </c>
      <c r="M29" s="96">
        <f>'Bases de proyeccion 1A1a'!M29</f>
        <v>7685.3547568277309</v>
      </c>
      <c r="N29" s="96">
        <f>'Bases de proyeccion 1A1a'!N29</f>
        <v>7685.3547568277309</v>
      </c>
      <c r="O29" s="96">
        <f>'Bases de proyeccion 1A1a'!O29</f>
        <v>7685.3547568277309</v>
      </c>
      <c r="P29" s="96">
        <f>'Bases de proyeccion 1A1a'!P29</f>
        <v>9390.78776916887</v>
      </c>
      <c r="Q29" s="96">
        <f>'Bases de proyeccion 1A1a'!Q29</f>
        <v>7823.1607744684397</v>
      </c>
      <c r="R29" s="96">
        <f>'Bases de proyeccion 1A1a'!R29</f>
        <v>7823.1607744684397</v>
      </c>
      <c r="S29" s="96">
        <f>'Bases de proyeccion 1A1a'!S29</f>
        <v>8202.1379132138882</v>
      </c>
      <c r="T29" s="96">
        <f>'Bases de proyeccion 1A1a'!T29</f>
        <v>8202.1379132138882</v>
      </c>
      <c r="U29" s="96">
        <f>'Bases de proyeccion 1A1a'!U29</f>
        <v>8202.1379132138882</v>
      </c>
    </row>
    <row r="30" spans="1:21" x14ac:dyDescent="0.25">
      <c r="A30" s="49" t="str">
        <f t="shared" ref="A30:A38" si="2">A15</f>
        <v>1A3b Autotransporte</v>
      </c>
      <c r="B30" s="51">
        <f t="shared" si="1"/>
        <v>6429.37725684211</v>
      </c>
      <c r="C30" s="51">
        <f t="shared" si="1"/>
        <v>6364.90990976585</v>
      </c>
      <c r="D30" s="51">
        <f t="shared" si="1"/>
        <v>6824.49884192026</v>
      </c>
      <c r="E30" s="51">
        <f t="shared" si="1"/>
        <v>6985.5019687943404</v>
      </c>
      <c r="F30" s="51">
        <f t="shared" si="1"/>
        <v>6862.8105370773601</v>
      </c>
      <c r="G30" s="96">
        <f>'Bases de proyeccion 1A3b'!G30</f>
        <v>6892.847978876358</v>
      </c>
      <c r="H30" s="96">
        <f>'Bases de proyeccion 1A3b'!H30</f>
        <v>6928.2063149709502</v>
      </c>
      <c r="I30" s="96">
        <f>'Bases de proyeccion 1A3b'!I30</f>
        <v>6980.41330879015</v>
      </c>
      <c r="J30" s="96">
        <f>'Bases de proyeccion 1A3b'!J30</f>
        <v>7048.9544975026729</v>
      </c>
      <c r="K30" s="96">
        <f>'Bases de proyeccion 1A3b'!K30</f>
        <v>7133.8441717427413</v>
      </c>
      <c r="L30" s="96">
        <f>'Bases de proyeccion 1A3b'!L30</f>
        <v>7234.8393907288919</v>
      </c>
      <c r="M30" s="96">
        <f>'Bases de proyeccion 1A3b'!M30</f>
        <v>7351.4828541666502</v>
      </c>
      <c r="N30" s="96">
        <f>'Bases de proyeccion 1A3b'!N30</f>
        <v>7484.58912820556</v>
      </c>
      <c r="O30" s="96">
        <f>'Bases de proyeccion 1A3b'!O30</f>
        <v>7633.7866563563657</v>
      </c>
      <c r="P30" s="96">
        <f>'Bases de proyeccion 1A3b'!P30</f>
        <v>7799.1468917900711</v>
      </c>
      <c r="Q30" s="96">
        <f>'Bases de proyeccion 1A3b'!Q30</f>
        <v>7980.7984502144973</v>
      </c>
      <c r="R30" s="96">
        <f>'Bases de proyeccion 1A3b'!R30</f>
        <v>8178.4983908481954</v>
      </c>
      <c r="S30" s="96">
        <f>'Bases de proyeccion 1A3b'!S30</f>
        <v>8392.9326641328953</v>
      </c>
      <c r="T30" s="96">
        <f>'Bases de proyeccion 1A3b'!T30</f>
        <v>8622.5684501058568</v>
      </c>
      <c r="U30" s="96">
        <f>'Bases de proyeccion 1A3b'!U30</f>
        <v>8868.8193480615591</v>
      </c>
    </row>
    <row r="31" spans="1:21" x14ac:dyDescent="0.25">
      <c r="A31" s="49" t="str">
        <f t="shared" si="2"/>
        <v>3A2a Bovinos</v>
      </c>
      <c r="B31" s="51">
        <f t="shared" si="1"/>
        <v>3600.3411524080839</v>
      </c>
      <c r="C31" s="51">
        <f t="shared" si="1"/>
        <v>3684.2695272366668</v>
      </c>
      <c r="D31" s="51">
        <f t="shared" si="1"/>
        <v>3817.6399996797709</v>
      </c>
      <c r="E31" s="51">
        <f t="shared" si="1"/>
        <v>4423.6938958774172</v>
      </c>
      <c r="F31" s="51">
        <f t="shared" si="1"/>
        <v>4605.358367948681</v>
      </c>
      <c r="G31" s="96">
        <f>'Bases de proyeccion 3A'!G31</f>
        <v>4395.0792369798346</v>
      </c>
      <c r="H31" s="96">
        <f>'Bases de proyeccion 3A'!H31</f>
        <v>4526.1708016312668</v>
      </c>
      <c r="I31" s="96">
        <f>'Bases de proyeccion 3A'!I31</f>
        <v>4661.1724205493392</v>
      </c>
      <c r="J31" s="96">
        <f>'Bases de proyeccion 3A'!J31</f>
        <v>4800.2007185100847</v>
      </c>
      <c r="K31" s="96">
        <f>'Bases de proyeccion 3A'!K31</f>
        <v>4943.3757988444349</v>
      </c>
      <c r="L31" s="96">
        <f>'Bases de proyeccion 3A'!L31</f>
        <v>5090.8213471926956</v>
      </c>
      <c r="M31" s="96">
        <f>'Bases de proyeccion 3A'!M31</f>
        <v>5242.6647383537165</v>
      </c>
      <c r="N31" s="96">
        <f>'Bases de proyeccion 3A'!N31</f>
        <v>5399.0371463210322</v>
      </c>
      <c r="O31" s="96">
        <f>'Bases de proyeccion 3A'!O31</f>
        <v>5560.0736576010404</v>
      </c>
      <c r="P31" s="96">
        <f>'Bases de proyeccion 3A'!P31</f>
        <v>5725.9133879111123</v>
      </c>
      <c r="Q31" s="96">
        <f>'Bases de proyeccion 3A'!Q31</f>
        <v>5896.6996023584461</v>
      </c>
      <c r="R31" s="96">
        <f>'Bases de proyeccion 3A'!R31</f>
        <v>6072.5798392034685</v>
      </c>
      <c r="S31" s="96">
        <f>'Bases de proyeccion 3A'!S31</f>
        <v>6253.7060373147378</v>
      </c>
      <c r="T31" s="96">
        <f>'Bases de proyeccion 3A'!T31</f>
        <v>6440.2346674254077</v>
      </c>
      <c r="U31" s="96">
        <f>'Bases de proyeccion 3A'!U31</f>
        <v>6632.3268673046896</v>
      </c>
    </row>
    <row r="32" spans="1:21" x14ac:dyDescent="0.25">
      <c r="A32" s="49" t="str">
        <f t="shared" si="2"/>
        <v>3A1a Bovino</v>
      </c>
      <c r="B32" s="51">
        <f t="shared" si="1"/>
        <v>3237.0198383011998</v>
      </c>
      <c r="C32" s="51">
        <f t="shared" si="1"/>
        <v>3315.9102162787999</v>
      </c>
      <c r="D32" s="51">
        <f t="shared" si="1"/>
        <v>3479.1418364527999</v>
      </c>
      <c r="E32" s="51">
        <f t="shared" si="1"/>
        <v>3860.5180900104001</v>
      </c>
      <c r="F32" s="51">
        <f t="shared" si="1"/>
        <v>3960.1264578540004</v>
      </c>
      <c r="G32" s="96">
        <f>'Bases de proyeccion 3A'!G32</f>
        <v>3891.035283821217</v>
      </c>
      <c r="H32" s="96">
        <f>'Bases de proyeccion 3A'!H32</f>
        <v>4007.0927826663496</v>
      </c>
      <c r="I32" s="96">
        <f>'Bases de proyeccion 3A'!I32</f>
        <v>4126.6119162836476</v>
      </c>
      <c r="J32" s="96">
        <f>'Bases de proyeccion 3A'!J32</f>
        <v>4249.6959344881989</v>
      </c>
      <c r="K32" s="96">
        <f>'Bases de proyeccion 3A'!K32</f>
        <v>4376.4511667164388</v>
      </c>
      <c r="L32" s="96">
        <f>'Bases de proyeccion 3A'!L32</f>
        <v>4506.9871138816798</v>
      </c>
      <c r="M32" s="96">
        <f>'Bases de proyeccion 3A'!M32</f>
        <v>4641.4165429694249</v>
      </c>
      <c r="N32" s="96">
        <f>'Bases de proyeccion 3A'!N32</f>
        <v>4779.8555844541515</v>
      </c>
      <c r="O32" s="96">
        <f>'Bases de proyeccion 3A'!O32</f>
        <v>4922.4238326217464</v>
      </c>
      <c r="P32" s="96">
        <f>'Bases de proyeccion 3A'!P32</f>
        <v>5069.2444488842439</v>
      </c>
      <c r="Q32" s="96">
        <f>'Bases de proyeccion 3A'!Q32</f>
        <v>5220.4442681761211</v>
      </c>
      <c r="R32" s="96">
        <f>'Bases de proyeccion 3A'!R32</f>
        <v>5376.1539085240574</v>
      </c>
      <c r="S32" s="96">
        <f>'Bases de proyeccion 3A'!S32</f>
        <v>5536.5078838848376</v>
      </c>
      <c r="T32" s="96">
        <f>'Bases de proyeccion 3A'!T32</f>
        <v>5701.644720348836</v>
      </c>
      <c r="U32" s="96">
        <f>'Bases de proyeccion 3A'!U32</f>
        <v>5871.7070758095169</v>
      </c>
    </row>
    <row r="33" spans="1:21" x14ac:dyDescent="0.25">
      <c r="A33" s="49" t="str">
        <f t="shared" si="2"/>
        <v>1A2 Industrias manufactura y de la construcción</v>
      </c>
      <c r="B33" s="51">
        <f t="shared" si="1"/>
        <v>1830.1041703016547</v>
      </c>
      <c r="C33" s="51">
        <f t="shared" si="1"/>
        <v>1814.4799327099774</v>
      </c>
      <c r="D33" s="51">
        <f t="shared" si="1"/>
        <v>1435.0260239346042</v>
      </c>
      <c r="E33" s="51">
        <f t="shared" si="1"/>
        <v>1993.2791637428973</v>
      </c>
      <c r="F33" s="51">
        <f t="shared" si="1"/>
        <v>2147.0392392463536</v>
      </c>
      <c r="G33" s="96">
        <f>'Bases de proyeccion 1A2'!G33</f>
        <v>2862.2280379094514</v>
      </c>
      <c r="H33" s="96">
        <f>'Bases de proyeccion 1A2'!H33</f>
        <v>3064.1984596120678</v>
      </c>
      <c r="I33" s="96">
        <f>'Bases de proyeccion 1A2'!I33</f>
        <v>3158.5142639960468</v>
      </c>
      <c r="J33" s="96">
        <f>'Bases de proyeccion 1A2'!J33</f>
        <v>3233.210671955097</v>
      </c>
      <c r="K33" s="96">
        <f>'Bases de proyeccion 1A2'!K33</f>
        <v>3308.4287244612424</v>
      </c>
      <c r="L33" s="96">
        <f>'Bases de proyeccion 1A2'!L33</f>
        <v>3376.6782619449091</v>
      </c>
      <c r="M33" s="96">
        <f>'Bases de proyeccion 1A2'!M33</f>
        <v>3450.5922030833153</v>
      </c>
      <c r="N33" s="96">
        <f>'Bases de proyeccion 1A2'!N33</f>
        <v>3526.0710778630087</v>
      </c>
      <c r="O33" s="96">
        <f>'Bases de proyeccion 1A2'!O33</f>
        <v>3608.2576453916317</v>
      </c>
      <c r="P33" s="96">
        <f>'Bases de proyeccion 1A2'!P33</f>
        <v>3685.0406315390651</v>
      </c>
      <c r="Q33" s="96">
        <f>'Bases de proyeccion 1A2'!Q33</f>
        <v>3761.8236176864975</v>
      </c>
      <c r="R33" s="96">
        <f>'Bases de proyeccion 1A2'!R33</f>
        <v>3845.0534743093126</v>
      </c>
      <c r="S33" s="96">
        <f>'Bases de proyeccion 1A2'!S33</f>
        <v>3922.3581050038401</v>
      </c>
      <c r="T33" s="96">
        <f>'Bases de proyeccion 1A2'!T33</f>
        <v>4006.6312507208463</v>
      </c>
      <c r="U33" s="96">
        <f>'Bases de proyeccion 1A2'!U33</f>
        <v>4085.2399927831134</v>
      </c>
    </row>
    <row r="34" spans="1:21" x14ac:dyDescent="0.25">
      <c r="A34" s="49" t="str">
        <f t="shared" si="2"/>
        <v>3C4 Emisiones directas de los N2O de los suelos gestionados</v>
      </c>
      <c r="B34" s="51">
        <f t="shared" si="1"/>
        <v>1468.5754723803298</v>
      </c>
      <c r="C34" s="51">
        <f t="shared" si="1"/>
        <v>1510.8151927064257</v>
      </c>
      <c r="D34" s="51">
        <f t="shared" si="1"/>
        <v>1429.2472290641933</v>
      </c>
      <c r="E34" s="51">
        <f t="shared" si="1"/>
        <v>1618.9379021432314</v>
      </c>
      <c r="F34" s="51">
        <f t="shared" si="1"/>
        <v>1573.1736216455197</v>
      </c>
      <c r="G34" s="97">
        <f>'Bases de proyeccion 3C4'!G33</f>
        <v>1717.2559824965979</v>
      </c>
      <c r="H34" s="97">
        <f>'Bases de proyeccion 3C4'!H33</f>
        <v>1805.8504003008115</v>
      </c>
      <c r="I34" s="97">
        <f>'Bases de proyeccion 3C4'!I33</f>
        <v>1900.7825754664586</v>
      </c>
      <c r="J34" s="97">
        <f>'Bases de proyeccion 3C4'!J33</f>
        <v>2003.1140087844019</v>
      </c>
      <c r="K34" s="97">
        <f>'Bases de proyeccion 3C4'!K33</f>
        <v>2116.7566442705634</v>
      </c>
      <c r="L34" s="97">
        <f>'Bases de proyeccion 3C4'!L33</f>
        <v>2247.7439564087877</v>
      </c>
      <c r="M34" s="97">
        <f>'Bases de proyeccion 3C4'!M33</f>
        <v>2385.4115105649084</v>
      </c>
      <c r="N34" s="97">
        <f>'Bases de proyeccion 3C4'!N33</f>
        <v>2536.2645623230283</v>
      </c>
      <c r="O34" s="97">
        <f>'Bases de proyeccion 3C4'!O33</f>
        <v>2702.0884425631939</v>
      </c>
      <c r="P34" s="97">
        <f>'Bases de proyeccion 3C4'!P33</f>
        <v>2884.8508681260214</v>
      </c>
      <c r="Q34" s="97">
        <f>'Bases de proyeccion 3C4'!Q33</f>
        <v>3086.0826380294961</v>
      </c>
      <c r="R34" s="97">
        <f>'Bases de proyeccion 3C4'!R33</f>
        <v>3306.298398066871</v>
      </c>
      <c r="S34" s="97">
        <f>'Bases de proyeccion 3C4'!S33</f>
        <v>3548.6467602905827</v>
      </c>
      <c r="T34" s="97">
        <f>'Bases de proyeccion 3C4'!T33</f>
        <v>3815.5197827540123</v>
      </c>
      <c r="U34" s="97">
        <f>'Bases de proyeccion 3C4'!U33</f>
        <v>4109.4844731621324</v>
      </c>
    </row>
    <row r="35" spans="1:21" x14ac:dyDescent="0.25">
      <c r="A35" s="49" t="str">
        <f t="shared" si="2"/>
        <v>1A4a y 1A4b Residencial/Comercial/institucional</v>
      </c>
      <c r="B35" s="51">
        <f t="shared" si="1"/>
        <v>1567.6103073821278</v>
      </c>
      <c r="C35" s="51">
        <f t="shared" si="1"/>
        <v>1393.8938718271511</v>
      </c>
      <c r="D35" s="51">
        <f t="shared" si="1"/>
        <v>1518.8761076499006</v>
      </c>
      <c r="E35" s="51">
        <f t="shared" si="1"/>
        <v>1506.3823539588132</v>
      </c>
      <c r="F35" s="51">
        <f t="shared" si="1"/>
        <v>1476.0839361568537</v>
      </c>
      <c r="G35" s="96">
        <f>'Bases de proyeccion 1A4a y 1A4b'!G35</f>
        <v>1311.3508383644685</v>
      </c>
      <c r="H35" s="96">
        <f>'Bases de proyeccion 1A4a y 1A4b'!H35</f>
        <v>1539.0415136546208</v>
      </c>
      <c r="I35" s="96">
        <f>'Bases de proyeccion 1A4a y 1A4b'!I35</f>
        <v>1437.8084925126345</v>
      </c>
      <c r="J35" s="96">
        <f>'Bases de proyeccion 1A4a y 1A4b'!J35</f>
        <v>1441.4411710655506</v>
      </c>
      <c r="K35" s="96">
        <f>'Bases de proyeccion 1A4a y 1A4b'!K35</f>
        <v>1413.505699877353</v>
      </c>
      <c r="L35" s="96">
        <f>'Bases de proyeccion 1A4a y 1A4b'!L35</f>
        <v>1404.9646849090809</v>
      </c>
      <c r="M35" s="96">
        <f>'Bases de proyeccion 1A4a y 1A4b'!M35</f>
        <v>1364.1086136192673</v>
      </c>
      <c r="N35" s="96">
        <f>'Bases de proyeccion 1A4a y 1A4b'!N35</f>
        <v>1329.0096380191194</v>
      </c>
      <c r="O35" s="96">
        <f>'Bases de proyeccion 1A4a y 1A4b'!O35</f>
        <v>1317.4381456129145</v>
      </c>
      <c r="P35" s="96">
        <f>'Bases de proyeccion 1A4a y 1A4b'!P35</f>
        <v>1368.9047210583062</v>
      </c>
      <c r="Q35" s="96">
        <f>'Bases de proyeccion 1A4a y 1A4b'!Q35</f>
        <v>1352.0916855641071</v>
      </c>
      <c r="R35" s="96">
        <f>'Bases de proyeccion 1A4a y 1A4b'!R35</f>
        <v>1323.5077985535409</v>
      </c>
      <c r="S35" s="96">
        <f>'Bases de proyeccion 1A4a y 1A4b'!S35</f>
        <v>1332.1103578138768</v>
      </c>
      <c r="T35" s="96">
        <f>'Bases de proyeccion 1A4a y 1A4b'!T35</f>
        <v>1348.5184988489677</v>
      </c>
      <c r="U35" s="96">
        <f>'Bases de proyeccion 1A4a y 1A4b'!U35</f>
        <v>1336.9506949692372</v>
      </c>
    </row>
    <row r="36" spans="1:21" x14ac:dyDescent="0.25">
      <c r="A36" s="49" t="str">
        <f t="shared" si="2"/>
        <v>4D1 Tratamiento y eliminación de aguas residuales domésticas</v>
      </c>
      <c r="B36" s="51">
        <f t="shared" si="1"/>
        <v>741.77356206533875</v>
      </c>
      <c r="C36" s="51">
        <f t="shared" si="1"/>
        <v>748.67027959494419</v>
      </c>
      <c r="D36" s="51">
        <f t="shared" si="1"/>
        <v>750.89796241684405</v>
      </c>
      <c r="E36" s="51">
        <f t="shared" si="1"/>
        <v>745.33094712946661</v>
      </c>
      <c r="F36" s="51">
        <f t="shared" si="1"/>
        <v>742.93230375857343</v>
      </c>
      <c r="G36" s="90">
        <f>$B$42*G28+$C$42</f>
        <v>745.61445626933096</v>
      </c>
      <c r="H36" s="90">
        <f t="shared" ref="H36:U36" si="3">$B$42*H28+$C$42</f>
        <v>745.51227136143007</v>
      </c>
      <c r="I36" s="90">
        <f t="shared" si="3"/>
        <v>745.41008645352929</v>
      </c>
      <c r="J36" s="90">
        <f t="shared" si="3"/>
        <v>745.30790154562851</v>
      </c>
      <c r="K36" s="90">
        <f t="shared" si="3"/>
        <v>745.20571663772762</v>
      </c>
      <c r="L36" s="90">
        <f t="shared" si="3"/>
        <v>745.10353172982684</v>
      </c>
      <c r="M36" s="90">
        <f t="shared" si="3"/>
        <v>745.00134682192595</v>
      </c>
      <c r="N36" s="90">
        <f t="shared" si="3"/>
        <v>744.89916191402517</v>
      </c>
      <c r="O36" s="90">
        <f t="shared" si="3"/>
        <v>744.79697700612428</v>
      </c>
      <c r="P36" s="90">
        <f t="shared" si="3"/>
        <v>744.6947920982235</v>
      </c>
      <c r="Q36" s="90">
        <f t="shared" si="3"/>
        <v>744.59260719032272</v>
      </c>
      <c r="R36" s="90">
        <f t="shared" si="3"/>
        <v>744.49042228242183</v>
      </c>
      <c r="S36" s="90">
        <f t="shared" si="3"/>
        <v>744.38823737452105</v>
      </c>
      <c r="T36" s="90">
        <f t="shared" si="3"/>
        <v>744.28605246662028</v>
      </c>
      <c r="U36" s="90">
        <f t="shared" si="3"/>
        <v>744.18386755871938</v>
      </c>
    </row>
    <row r="37" spans="1:21" x14ac:dyDescent="0.25">
      <c r="A37" s="49" t="str">
        <f t="shared" si="2"/>
        <v>2A1 Producción de cemento</v>
      </c>
      <c r="B37" s="51">
        <f t="shared" si="1"/>
        <v>564.00324504978244</v>
      </c>
      <c r="C37" s="51">
        <f t="shared" si="1"/>
        <v>596.35701426014282</v>
      </c>
      <c r="D37" s="51">
        <f t="shared" si="1"/>
        <v>645.49640887027363</v>
      </c>
      <c r="E37" s="51">
        <f t="shared" si="1"/>
        <v>661.20134961005601</v>
      </c>
      <c r="F37" s="51">
        <f t="shared" si="1"/>
        <v>677.89834770951029</v>
      </c>
      <c r="G37" s="51">
        <f>$B$43*G28+$C$43</f>
        <v>716.78163530076563</v>
      </c>
      <c r="H37" s="51">
        <f t="shared" ref="H37:U37" si="4">$B$43*H28+$C$43</f>
        <v>746.04508936769707</v>
      </c>
      <c r="I37" s="51">
        <f>$B$43*I28+$C$43</f>
        <v>775.30854343463579</v>
      </c>
      <c r="J37" s="51">
        <f>$B$43*J28+$C$43</f>
        <v>804.57199750157451</v>
      </c>
      <c r="K37" s="51">
        <f t="shared" si="4"/>
        <v>833.83545156851324</v>
      </c>
      <c r="L37" s="51">
        <f t="shared" si="4"/>
        <v>863.09890563544468</v>
      </c>
      <c r="M37" s="51">
        <f t="shared" si="4"/>
        <v>892.3623597023834</v>
      </c>
      <c r="N37" s="51">
        <f t="shared" si="4"/>
        <v>921.62581376932212</v>
      </c>
      <c r="O37" s="51">
        <f t="shared" si="4"/>
        <v>950.88926783626084</v>
      </c>
      <c r="P37" s="51">
        <f t="shared" si="4"/>
        <v>980.15272190319229</v>
      </c>
      <c r="Q37" s="51">
        <f t="shared" si="4"/>
        <v>1009.416175970131</v>
      </c>
      <c r="R37" s="51">
        <f t="shared" si="4"/>
        <v>1038.6796300370697</v>
      </c>
      <c r="S37" s="51">
        <f t="shared" si="4"/>
        <v>1067.9430841040084</v>
      </c>
      <c r="T37" s="51">
        <f t="shared" si="4"/>
        <v>1097.2065381709399</v>
      </c>
      <c r="U37" s="51">
        <f t="shared" si="4"/>
        <v>1126.4699922378786</v>
      </c>
    </row>
    <row r="38" spans="1:21" x14ac:dyDescent="0.25">
      <c r="A38" s="49" t="str">
        <f t="shared" si="2"/>
        <v>Resto de las fuentes (sin incluir la categoría 3B tierra)</v>
      </c>
      <c r="B38" s="51">
        <f>B23</f>
        <v>2822.6880509367461</v>
      </c>
      <c r="C38" s="51">
        <f t="shared" si="1"/>
        <v>2893.2424796424939</v>
      </c>
      <c r="D38" s="51">
        <f t="shared" si="1"/>
        <v>3176.393649660236</v>
      </c>
      <c r="E38" s="51">
        <f t="shared" si="1"/>
        <v>2718.7278828239919</v>
      </c>
      <c r="F38" s="51">
        <f t="shared" si="1"/>
        <v>2834.2773316241796</v>
      </c>
      <c r="G38" s="51">
        <f>AVERAGE($B$38:$F$38)</f>
        <v>2889.0658789375298</v>
      </c>
      <c r="H38" s="51">
        <f t="shared" ref="H38:U38" si="5">AVERAGE($B$38:$F$38)</f>
        <v>2889.0658789375298</v>
      </c>
      <c r="I38" s="51">
        <f t="shared" si="5"/>
        <v>2889.0658789375298</v>
      </c>
      <c r="J38" s="51">
        <f t="shared" si="5"/>
        <v>2889.0658789375298</v>
      </c>
      <c r="K38" s="51">
        <f t="shared" si="5"/>
        <v>2889.0658789375298</v>
      </c>
      <c r="L38" s="51">
        <f t="shared" si="5"/>
        <v>2889.0658789375298</v>
      </c>
      <c r="M38" s="51">
        <f t="shared" si="5"/>
        <v>2889.0658789375298</v>
      </c>
      <c r="N38" s="51">
        <f t="shared" si="5"/>
        <v>2889.0658789375298</v>
      </c>
      <c r="O38" s="51">
        <f t="shared" si="5"/>
        <v>2889.0658789375298</v>
      </c>
      <c r="P38" s="51">
        <f t="shared" si="5"/>
        <v>2889.0658789375298</v>
      </c>
      <c r="Q38" s="51">
        <f t="shared" si="5"/>
        <v>2889.0658789375298</v>
      </c>
      <c r="R38" s="51">
        <f t="shared" si="5"/>
        <v>2889.0658789375298</v>
      </c>
      <c r="S38" s="51">
        <f t="shared" si="5"/>
        <v>2889.0658789375298</v>
      </c>
      <c r="T38" s="51">
        <f t="shared" si="5"/>
        <v>2889.0658789375298</v>
      </c>
      <c r="U38" s="51">
        <f t="shared" si="5"/>
        <v>2889.0658789375298</v>
      </c>
    </row>
    <row r="39" spans="1:21" x14ac:dyDescent="0.25">
      <c r="A39" s="98" t="s">
        <v>160</v>
      </c>
      <c r="B39" s="51">
        <f t="shared" ref="B39:U39" si="6">SUM(B29:B38)</f>
        <v>29717.490613996521</v>
      </c>
      <c r="C39" s="51">
        <f t="shared" si="6"/>
        <v>29893.679334214517</v>
      </c>
      <c r="D39" s="51">
        <f t="shared" si="6"/>
        <v>29879.726823456273</v>
      </c>
      <c r="E39" s="51">
        <f t="shared" si="6"/>
        <v>30652.015083478462</v>
      </c>
      <c r="F39" s="51">
        <f t="shared" si="6"/>
        <v>31008.664334096939</v>
      </c>
      <c r="G39" s="51">
        <f t="shared" si="6"/>
        <v>31592.750784180451</v>
      </c>
      <c r="H39" s="51">
        <f t="shared" si="6"/>
        <v>35890.513171174913</v>
      </c>
      <c r="I39" s="51">
        <f t="shared" si="6"/>
        <v>36314.417145096158</v>
      </c>
      <c r="J39" s="51">
        <f t="shared" si="6"/>
        <v>37312.688355668339</v>
      </c>
      <c r="K39" s="51">
        <f t="shared" si="6"/>
        <v>37864.269993946138</v>
      </c>
      <c r="L39" s="51">
        <f t="shared" si="6"/>
        <v>35821.255111464532</v>
      </c>
      <c r="M39" s="51">
        <f t="shared" si="6"/>
        <v>36647.46080504686</v>
      </c>
      <c r="N39" s="51">
        <f t="shared" si="6"/>
        <v>37295.77274863451</v>
      </c>
      <c r="O39" s="51">
        <f t="shared" si="6"/>
        <v>38014.175260754542</v>
      </c>
      <c r="P39" s="51">
        <f t="shared" si="6"/>
        <v>40537.802111416633</v>
      </c>
      <c r="Q39" s="51">
        <f t="shared" si="6"/>
        <v>39764.175698595587</v>
      </c>
      <c r="R39" s="51">
        <f t="shared" si="6"/>
        <v>40597.4885152309</v>
      </c>
      <c r="S39" s="51">
        <f t="shared" si="6"/>
        <v>41889.796922070724</v>
      </c>
      <c r="T39" s="51">
        <f t="shared" si="6"/>
        <v>42867.813752992908</v>
      </c>
      <c r="U39" s="51">
        <f t="shared" si="6"/>
        <v>43866.386104038269</v>
      </c>
    </row>
    <row r="41" spans="1:21" x14ac:dyDescent="0.25">
      <c r="A41" s="58" t="s">
        <v>208</v>
      </c>
      <c r="B41" s="99" t="s">
        <v>205</v>
      </c>
      <c r="C41" s="99" t="s">
        <v>206</v>
      </c>
      <c r="D41" s="99" t="s">
        <v>207</v>
      </c>
    </row>
    <row r="42" spans="1:21" x14ac:dyDescent="0.25">
      <c r="A42" s="45" t="str">
        <f>A36</f>
        <v>4D1 Tratamiento y eliminación de aguas residuales domésticas</v>
      </c>
      <c r="B42" s="146">
        <f>INDEX(LINEST(B36:F36,$B$28:$F$28,TRUE,FALSE),1)</f>
        <v>-0.10218490790082353</v>
      </c>
      <c r="C42" s="146">
        <f>INDEX(LINEST(B36:F36,$B$28:$F$28,TRUE,FALSE),2)</f>
        <v>951.82360041319282</v>
      </c>
      <c r="D42" s="100">
        <f>INDEX(LINEST(B36:F36,$B$28:$F$28,TRUE,TRUE),3)</f>
        <v>1.7754946417148877E-3</v>
      </c>
    </row>
    <row r="43" spans="1:21" x14ac:dyDescent="0.25">
      <c r="A43" s="45" t="str">
        <f>A37</f>
        <v>2A1 Producción de cemento</v>
      </c>
      <c r="B43" s="146">
        <f>INDEX(LINEST(B37:F37,$B$28:$F$28,TRUE,FALSE),1)</f>
        <v>29.26345406693688</v>
      </c>
      <c r="C43" s="146">
        <f>INDEX(LINEST(B37:F37,$B$28:$F$28,TRUE,FALSE),2)</f>
        <v>-58336.868671777862</v>
      </c>
      <c r="D43" s="100">
        <f>INDEX(LINEST(B37:F37,$B$28:$F$28,TRUE,TRUE),3)</f>
        <v>0.95253171772683465</v>
      </c>
    </row>
    <row r="44" spans="1:21" x14ac:dyDescent="0.25">
      <c r="A44" s="52" t="s">
        <v>154</v>
      </c>
      <c r="B44" s="146">
        <f>INDEX(LINEST(B38:F38,$B$28:$F$28,TRUE,FALSE),1)</f>
        <v>-15.133603544363492</v>
      </c>
      <c r="C44" s="146">
        <f>INDEX(LINEST(B38:F38,$B$28:$F$28,TRUE,FALSE),2)</f>
        <v>33383.277020829963</v>
      </c>
      <c r="D44" s="100">
        <f>INDEX(LINEST(B38:F38,$B$28:$F$28,TRUE,TRUE),3)</f>
        <v>1.9246278851090662E-2</v>
      </c>
    </row>
    <row r="49" spans="1:6" x14ac:dyDescent="0.25">
      <c r="A49" s="139" t="s">
        <v>153</v>
      </c>
      <c r="B49" s="145">
        <v>2013</v>
      </c>
      <c r="C49" s="145">
        <v>2014</v>
      </c>
      <c r="D49" s="145">
        <v>2015</v>
      </c>
      <c r="E49" s="145">
        <v>2016</v>
      </c>
      <c r="F49" s="145">
        <v>2017</v>
      </c>
    </row>
    <row r="50" spans="1:6" x14ac:dyDescent="0.25">
      <c r="A50" s="141" t="str">
        <f>A14</f>
        <v>1A1a Actividad principal producción de electricidad y calor</v>
      </c>
      <c r="B50" s="142">
        <f t="shared" ref="B50:F58" si="7">B14/B$24</f>
        <v>0.2508959338180955</v>
      </c>
      <c r="C50" s="142">
        <f t="shared" si="7"/>
        <v>0.25326861994958916</v>
      </c>
      <c r="D50" s="142">
        <f t="shared" si="7"/>
        <v>0.22766301726919638</v>
      </c>
      <c r="E50" s="142">
        <f t="shared" si="7"/>
        <v>0.2002622507091382</v>
      </c>
      <c r="F50" s="142">
        <f t="shared" si="7"/>
        <v>0.19765327925900153</v>
      </c>
    </row>
    <row r="51" spans="1:6" x14ac:dyDescent="0.25">
      <c r="A51" s="141" t="str">
        <f t="shared" ref="A51:A58" si="8">A15</f>
        <v>1A3b Autotransporte</v>
      </c>
      <c r="B51" s="142">
        <f t="shared" si="7"/>
        <v>0.21634993816786011</v>
      </c>
      <c r="C51" s="142">
        <f t="shared" si="7"/>
        <v>0.21291825066447925</v>
      </c>
      <c r="D51" s="142">
        <f t="shared" si="7"/>
        <v>0.22839897038693377</v>
      </c>
      <c r="E51" s="142">
        <f t="shared" si="7"/>
        <v>0.2278969897988713</v>
      </c>
      <c r="F51" s="142">
        <f t="shared" si="7"/>
        <v>0.22131912755529606</v>
      </c>
    </row>
    <row r="52" spans="1:6" x14ac:dyDescent="0.25">
      <c r="A52" s="141" t="str">
        <f t="shared" si="8"/>
        <v>3A2a Bovinos</v>
      </c>
      <c r="B52" s="142">
        <f t="shared" si="7"/>
        <v>0.12115226010073589</v>
      </c>
      <c r="C52" s="142">
        <f t="shared" si="7"/>
        <v>0.12324576998522468</v>
      </c>
      <c r="D52" s="142">
        <f t="shared" si="7"/>
        <v>0.12776689767735211</v>
      </c>
      <c r="E52" s="142">
        <f t="shared" si="7"/>
        <v>0.1443198394568781</v>
      </c>
      <c r="F52" s="142">
        <f t="shared" si="7"/>
        <v>0.14851843724480118</v>
      </c>
    </row>
    <row r="53" spans="1:6" x14ac:dyDescent="0.25">
      <c r="A53" s="141" t="str">
        <f t="shared" si="8"/>
        <v>3A1a Bovino</v>
      </c>
      <c r="B53" s="142">
        <f t="shared" si="7"/>
        <v>0.10892641913636573</v>
      </c>
      <c r="C53" s="142">
        <f t="shared" si="7"/>
        <v>0.11092345573144646</v>
      </c>
      <c r="D53" s="142">
        <f t="shared" si="7"/>
        <v>0.11643820765193856</v>
      </c>
      <c r="E53" s="142">
        <f t="shared" si="7"/>
        <v>0.12594663285583571</v>
      </c>
      <c r="F53" s="142">
        <f t="shared" si="7"/>
        <v>0.12771032041839575</v>
      </c>
    </row>
    <row r="54" spans="1:6" x14ac:dyDescent="0.25">
      <c r="A54" s="141" t="str">
        <f t="shared" si="8"/>
        <v>1A2 Industrias manufactura y de la construcción</v>
      </c>
      <c r="B54" s="142">
        <f t="shared" si="7"/>
        <v>6.1583401979428951E-2</v>
      </c>
      <c r="C54" s="142">
        <f t="shared" si="7"/>
        <v>6.0697778698429815E-2</v>
      </c>
      <c r="D54" s="142">
        <f t="shared" si="7"/>
        <v>4.8026745104244921E-2</v>
      </c>
      <c r="E54" s="142">
        <f t="shared" si="7"/>
        <v>6.5029302586285143E-2</v>
      </c>
      <c r="F54" s="142">
        <f t="shared" si="7"/>
        <v>6.9239978094944338E-2</v>
      </c>
    </row>
    <row r="55" spans="1:6" x14ac:dyDescent="0.25">
      <c r="A55" s="141" t="str">
        <f t="shared" si="8"/>
        <v>3C4 Emisiones directas de los N2O de los suelos gestionados</v>
      </c>
      <c r="B55" s="142">
        <f t="shared" si="7"/>
        <v>4.9417882938226666E-2</v>
      </c>
      <c r="C55" s="142">
        <f t="shared" si="7"/>
        <v>5.0539619958297907E-2</v>
      </c>
      <c r="D55" s="142">
        <f t="shared" si="7"/>
        <v>4.7833343240012538E-2</v>
      </c>
      <c r="E55" s="142">
        <f t="shared" si="7"/>
        <v>5.2816687507629613E-2</v>
      </c>
      <c r="F55" s="142">
        <f t="shared" si="7"/>
        <v>5.0733356480487539E-2</v>
      </c>
    </row>
    <row r="56" spans="1:6" x14ac:dyDescent="0.25">
      <c r="A56" s="141" t="str">
        <f t="shared" si="8"/>
        <v>1A4a y 1A4b Residencial/Comercial/institucional</v>
      </c>
      <c r="B56" s="142">
        <f t="shared" si="7"/>
        <v>5.2750426600414416E-2</v>
      </c>
      <c r="C56" s="142">
        <f t="shared" si="7"/>
        <v>4.6628381078263038E-2</v>
      </c>
      <c r="D56" s="142">
        <f t="shared" si="7"/>
        <v>5.0832998461604002E-2</v>
      </c>
      <c r="E56" s="142">
        <f t="shared" si="7"/>
        <v>4.9144643504066339E-2</v>
      </c>
      <c r="F56" s="142">
        <f t="shared" si="7"/>
        <v>4.7602306253925322E-2</v>
      </c>
    </row>
    <row r="57" spans="1:6" x14ac:dyDescent="0.25">
      <c r="A57" s="141" t="str">
        <f t="shared" si="8"/>
        <v>4D1 Tratamiento y eliminación de aguas residuales domésticas</v>
      </c>
      <c r="B57" s="142">
        <f t="shared" si="7"/>
        <v>2.4960841132258112E-2</v>
      </c>
      <c r="C57" s="142">
        <f t="shared" si="7"/>
        <v>2.5044434016459827E-2</v>
      </c>
      <c r="D57" s="142">
        <f t="shared" si="7"/>
        <v>2.5130683652280647E-2</v>
      </c>
      <c r="E57" s="142">
        <f t="shared" si="7"/>
        <v>2.4315887392708561E-2</v>
      </c>
      <c r="F57" s="142">
        <f t="shared" si="7"/>
        <v>2.3958861812104871E-2</v>
      </c>
    </row>
    <row r="58" spans="1:6" x14ac:dyDescent="0.25">
      <c r="A58" s="141" t="str">
        <f t="shared" si="8"/>
        <v>2A1 Producción de cemento</v>
      </c>
      <c r="B58" s="142">
        <f t="shared" si="7"/>
        <v>1.8978831435523189E-2</v>
      </c>
      <c r="C58" s="142">
        <f t="shared" si="7"/>
        <v>1.9949267789782846E-2</v>
      </c>
      <c r="D58" s="142">
        <f t="shared" si="7"/>
        <v>2.1603156303408508E-2</v>
      </c>
      <c r="E58" s="142">
        <f t="shared" si="7"/>
        <v>2.1571219634641436E-2</v>
      </c>
      <c r="F58" s="142">
        <f t="shared" si="7"/>
        <v>2.1861578441613089E-2</v>
      </c>
    </row>
    <row r="59" spans="1:6" x14ac:dyDescent="0.25">
      <c r="A59" s="143" t="s">
        <v>140</v>
      </c>
      <c r="B59" s="144">
        <f>SUM(B50:B58)</f>
        <v>0.90501593530890845</v>
      </c>
      <c r="C59" s="144">
        <f t="shared" ref="C59:F59" si="9">SUM(C50:C58)</f>
        <v>0.90321557787197315</v>
      </c>
      <c r="D59" s="144">
        <f t="shared" si="9"/>
        <v>0.89369401974697149</v>
      </c>
      <c r="E59" s="144">
        <f t="shared" si="9"/>
        <v>0.91130345344605435</v>
      </c>
      <c r="F59" s="144">
        <f t="shared" si="9"/>
        <v>0.90859724556056953</v>
      </c>
    </row>
    <row r="60" spans="1:6" x14ac:dyDescent="0.25">
      <c r="A60" t="str">
        <f>_xlfn.CONCAT("Nota: El porcentaje de la fila ", ROW(A59)," es la suma de los porcentajes de las filas ", ROW(A50)," a la ", ROW(A58),".")</f>
        <v>Nota: El porcentaje de la fila 59 es la suma de los porcentajes de las filas 50 a la 58.</v>
      </c>
    </row>
    <row r="62" spans="1:6" x14ac:dyDescent="0.25">
      <c r="A62" s="80"/>
      <c r="B62" s="80"/>
      <c r="C62" s="80"/>
      <c r="D62" s="80"/>
      <c r="E62" s="80"/>
      <c r="F62" s="80"/>
    </row>
    <row r="63" spans="1:6" ht="15.75" x14ac:dyDescent="0.25">
      <c r="A63" s="101"/>
      <c r="B63" s="102"/>
      <c r="C63" s="102"/>
      <c r="D63" s="102"/>
      <c r="E63" s="102"/>
      <c r="F63" s="102"/>
    </row>
    <row r="64" spans="1:6" x14ac:dyDescent="0.25">
      <c r="A64" s="103"/>
      <c r="B64" s="104"/>
      <c r="C64" s="104"/>
      <c r="D64" s="104"/>
      <c r="E64" s="104"/>
      <c r="F64" s="104"/>
    </row>
    <row r="65" spans="1:11" x14ac:dyDescent="0.25">
      <c r="A65" s="103"/>
      <c r="B65" s="104"/>
      <c r="C65" s="104"/>
      <c r="D65" s="104"/>
      <c r="E65" s="104"/>
      <c r="F65" s="104"/>
    </row>
    <row r="66" spans="1:11" x14ac:dyDescent="0.25">
      <c r="A66" s="103"/>
      <c r="B66" s="104"/>
      <c r="C66" s="104"/>
      <c r="D66" s="104"/>
      <c r="E66" s="104"/>
      <c r="F66" s="104"/>
    </row>
    <row r="67" spans="1:11" x14ac:dyDescent="0.25">
      <c r="A67" s="103"/>
      <c r="B67" s="104"/>
      <c r="C67" s="104"/>
      <c r="D67" s="104"/>
      <c r="E67" s="104"/>
      <c r="F67" s="104"/>
    </row>
    <row r="68" spans="1:11" x14ac:dyDescent="0.25">
      <c r="A68" s="103"/>
      <c r="B68" s="104"/>
      <c r="C68" s="104"/>
      <c r="D68" s="104"/>
      <c r="E68" s="104"/>
      <c r="F68" s="104"/>
    </row>
    <row r="69" spans="1:11" x14ac:dyDescent="0.25">
      <c r="A69" s="103"/>
      <c r="B69" s="104"/>
      <c r="C69" s="104"/>
      <c r="D69" s="104"/>
      <c r="E69" s="104"/>
      <c r="F69" s="104"/>
    </row>
    <row r="70" spans="1:11" x14ac:dyDescent="0.25">
      <c r="A70" s="103"/>
      <c r="B70" s="104"/>
      <c r="C70" s="104"/>
      <c r="D70" s="104"/>
      <c r="E70" s="104"/>
      <c r="F70" s="104"/>
    </row>
    <row r="71" spans="1:11" x14ac:dyDescent="0.25">
      <c r="A71" s="103"/>
      <c r="B71" s="104"/>
      <c r="C71" s="104"/>
      <c r="D71" s="104"/>
      <c r="E71" s="104"/>
      <c r="F71" s="104"/>
    </row>
    <row r="72" spans="1:11" x14ac:dyDescent="0.25">
      <c r="A72" s="105"/>
      <c r="B72" s="106"/>
      <c r="C72" s="106"/>
      <c r="D72" s="106"/>
      <c r="E72" s="106"/>
      <c r="F72" s="106"/>
    </row>
    <row r="73" spans="1:11" x14ac:dyDescent="0.25">
      <c r="A73" s="103"/>
      <c r="B73" s="80"/>
      <c r="C73" s="80"/>
      <c r="D73" s="80"/>
      <c r="E73" s="80"/>
      <c r="F73" s="80"/>
    </row>
    <row r="74" spans="1:11" x14ac:dyDescent="0.25">
      <c r="A74" s="80"/>
      <c r="B74" s="80"/>
      <c r="C74" s="80"/>
      <c r="D74" s="80"/>
      <c r="E74" s="80"/>
      <c r="F74" s="80"/>
    </row>
    <row r="77" spans="1:11" ht="15.75" x14ac:dyDescent="0.25">
      <c r="A77" s="125" t="s">
        <v>134</v>
      </c>
      <c r="B77" s="167" t="s">
        <v>148</v>
      </c>
      <c r="C77" s="167"/>
      <c r="D77" s="167"/>
      <c r="E77" s="167"/>
      <c r="F77" s="167"/>
      <c r="G77" s="167"/>
      <c r="H77" s="167"/>
      <c r="I77" s="167"/>
      <c r="J77" s="167"/>
      <c r="K77" s="167"/>
    </row>
    <row r="78" spans="1:11" x14ac:dyDescent="0.25">
      <c r="A78" s="126" t="s">
        <v>141</v>
      </c>
      <c r="B78" s="165" t="s">
        <v>146</v>
      </c>
      <c r="C78" s="165"/>
      <c r="D78" s="165"/>
      <c r="E78" s="165"/>
      <c r="F78" s="165"/>
      <c r="G78" s="165"/>
      <c r="H78" s="165"/>
      <c r="I78" s="165"/>
      <c r="J78" s="165"/>
      <c r="K78" s="165"/>
    </row>
    <row r="79" spans="1:11" x14ac:dyDescent="0.25">
      <c r="A79" s="126" t="s">
        <v>135</v>
      </c>
      <c r="B79" s="165" t="s">
        <v>147</v>
      </c>
      <c r="C79" s="165"/>
      <c r="D79" s="165"/>
      <c r="E79" s="165"/>
      <c r="F79" s="165"/>
      <c r="G79" s="165"/>
      <c r="H79" s="165"/>
      <c r="I79" s="165"/>
      <c r="J79" s="165"/>
      <c r="K79" s="165"/>
    </row>
    <row r="80" spans="1:11" x14ac:dyDescent="0.25">
      <c r="A80" s="126" t="s">
        <v>137</v>
      </c>
      <c r="B80" s="165" t="s">
        <v>146</v>
      </c>
      <c r="C80" s="165"/>
      <c r="D80" s="165"/>
      <c r="E80" s="165"/>
      <c r="F80" s="165"/>
      <c r="G80" s="165"/>
      <c r="H80" s="165"/>
      <c r="I80" s="165"/>
      <c r="J80" s="165"/>
      <c r="K80" s="165"/>
    </row>
    <row r="81" spans="1:11" x14ac:dyDescent="0.25">
      <c r="A81" s="126" t="s">
        <v>136</v>
      </c>
      <c r="B81" s="165" t="s">
        <v>146</v>
      </c>
      <c r="C81" s="165"/>
      <c r="D81" s="165"/>
      <c r="E81" s="165"/>
      <c r="F81" s="165"/>
      <c r="G81" s="165"/>
      <c r="H81" s="165"/>
      <c r="I81" s="165"/>
      <c r="J81" s="165"/>
      <c r="K81" s="165"/>
    </row>
    <row r="82" spans="1:11" x14ac:dyDescent="0.25">
      <c r="A82" s="126" t="s">
        <v>16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</row>
    <row r="83" spans="1:11" x14ac:dyDescent="0.25">
      <c r="A83" s="126" t="s">
        <v>142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</row>
    <row r="84" spans="1:11" x14ac:dyDescent="0.25">
      <c r="A84" s="126" t="s">
        <v>22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</row>
    <row r="85" spans="1:11" x14ac:dyDescent="0.25">
      <c r="A85" s="126" t="s">
        <v>138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</row>
    <row r="86" spans="1:11" x14ac:dyDescent="0.25">
      <c r="A86" s="126" t="s">
        <v>145</v>
      </c>
      <c r="B86" s="165"/>
      <c r="C86" s="165"/>
      <c r="D86" s="165"/>
      <c r="E86" s="165"/>
      <c r="F86" s="165"/>
      <c r="G86" s="165"/>
      <c r="H86" s="165"/>
      <c r="I86" s="165"/>
      <c r="J86" s="165"/>
      <c r="K86" s="165"/>
    </row>
    <row r="87" spans="1:11" x14ac:dyDescent="0.25">
      <c r="A87" s="126" t="s">
        <v>139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</row>
    <row r="89" spans="1:11" x14ac:dyDescent="0.25">
      <c r="A89" s="127" t="s">
        <v>221</v>
      </c>
    </row>
    <row r="99" spans="2:23" x14ac:dyDescent="0.25">
      <c r="F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3" spans="2:23" x14ac:dyDescent="0.25">
      <c r="B103" t="s">
        <v>143</v>
      </c>
    </row>
    <row r="104" spans="2:23" x14ac:dyDescent="0.25">
      <c r="B104" t="s">
        <v>144</v>
      </c>
    </row>
    <row r="115" spans="6:9" x14ac:dyDescent="0.25">
      <c r="F115" t="s">
        <v>179</v>
      </c>
      <c r="G115">
        <v>29200000</v>
      </c>
    </row>
    <row r="116" spans="6:9" x14ac:dyDescent="0.25">
      <c r="G116" t="s">
        <v>175</v>
      </c>
    </row>
    <row r="117" spans="6:9" x14ac:dyDescent="0.25">
      <c r="F117" t="s">
        <v>174</v>
      </c>
      <c r="G117">
        <v>54.1</v>
      </c>
      <c r="H117">
        <f>G117/$G$121</f>
        <v>2.6076687634058762E-2</v>
      </c>
      <c r="I117">
        <f>$G$121*1000000/$G$115*H117</f>
        <v>1.8527397260273972</v>
      </c>
    </row>
    <row r="118" spans="6:9" x14ac:dyDescent="0.25">
      <c r="F118" t="s">
        <v>176</v>
      </c>
      <c r="G118">
        <v>1471.1</v>
      </c>
      <c r="H118">
        <f t="shared" ref="H118:H120" si="10">G118/$G$121</f>
        <v>0.70908345986069943</v>
      </c>
      <c r="I118">
        <f t="shared" ref="I118:I120" si="11">$G$121*1000000/$G$115*H118</f>
        <v>50.380136986301366</v>
      </c>
    </row>
    <row r="119" spans="6:9" x14ac:dyDescent="0.25">
      <c r="F119" t="s">
        <v>177</v>
      </c>
      <c r="G119">
        <v>548.58000000000004</v>
      </c>
      <c r="H119">
        <f t="shared" si="10"/>
        <v>0.26442050466343725</v>
      </c>
      <c r="I119">
        <f t="shared" si="11"/>
        <v>18.786986301369861</v>
      </c>
    </row>
    <row r="120" spans="6:9" x14ac:dyDescent="0.25">
      <c r="F120" t="s">
        <v>178</v>
      </c>
      <c r="G120">
        <v>0.87</v>
      </c>
      <c r="H120">
        <f t="shared" si="10"/>
        <v>4.1934784180464182E-4</v>
      </c>
      <c r="I120">
        <f t="shared" si="11"/>
        <v>2.9794520547945205E-2</v>
      </c>
    </row>
    <row r="121" spans="6:9" x14ac:dyDescent="0.25">
      <c r="G121">
        <f>SUM(G117:G120)</f>
        <v>2074.6499999999996</v>
      </c>
    </row>
  </sheetData>
  <mergeCells count="12">
    <mergeCell ref="A25:F25"/>
    <mergeCell ref="B77:K77"/>
    <mergeCell ref="B78:K78"/>
    <mergeCell ref="B79:K79"/>
    <mergeCell ref="B80:K80"/>
    <mergeCell ref="B86:K86"/>
    <mergeCell ref="B87:K87"/>
    <mergeCell ref="B81:K81"/>
    <mergeCell ref="B82:K82"/>
    <mergeCell ref="B83:K83"/>
    <mergeCell ref="B84:K84"/>
    <mergeCell ref="B85:K85"/>
  </mergeCells>
  <pageMargins left="0.7" right="0.7" top="0.75" bottom="0.75" header="0.3" footer="0.3"/>
  <pageSetup orientation="portrait" r:id="rId1"/>
  <ignoredErrors>
    <ignoredError sqref="A13:F18 A21:F24 B19:F19 B20:F2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2A0F-F9C4-4F50-A6C4-2220BAEFB321}">
  <dimension ref="A27:U50"/>
  <sheetViews>
    <sheetView tabSelected="1" topLeftCell="A26" zoomScale="115" zoomScaleNormal="115" workbookViewId="0">
      <selection activeCell="A30" sqref="A30"/>
    </sheetView>
  </sheetViews>
  <sheetFormatPr baseColWidth="10" defaultColWidth="9.140625" defaultRowHeight="15" x14ac:dyDescent="0.25"/>
  <cols>
    <col min="1" max="1" width="59.5703125" bestFit="1" customWidth="1"/>
    <col min="3" max="5" width="23.28515625" customWidth="1"/>
    <col min="7" max="21" width="11.7109375" customWidth="1"/>
  </cols>
  <sheetData>
    <row r="27" spans="1:21" x14ac:dyDescent="0.25">
      <c r="B27" s="169" t="s">
        <v>159</v>
      </c>
      <c r="C27" s="169"/>
      <c r="D27" s="169"/>
      <c r="E27" s="169"/>
      <c r="F27" s="169"/>
      <c r="G27" s="168" t="s">
        <v>158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</row>
    <row r="28" spans="1:21" x14ac:dyDescent="0.25">
      <c r="A28" s="62" t="s">
        <v>157</v>
      </c>
      <c r="B28" s="61">
        <v>2013</v>
      </c>
      <c r="C28" s="61">
        <v>2014</v>
      </c>
      <c r="D28" s="61">
        <v>2015</v>
      </c>
      <c r="E28" s="61">
        <v>2016</v>
      </c>
      <c r="F28" s="61">
        <v>2017</v>
      </c>
      <c r="G28" s="61">
        <v>2018</v>
      </c>
      <c r="H28" s="61">
        <v>2019</v>
      </c>
      <c r="I28" s="61">
        <v>2020</v>
      </c>
      <c r="J28" s="61">
        <v>2021</v>
      </c>
      <c r="K28" s="61">
        <v>2022</v>
      </c>
      <c r="L28" s="61">
        <v>2023</v>
      </c>
      <c r="M28" s="61">
        <v>2024</v>
      </c>
      <c r="N28" s="61">
        <v>2025</v>
      </c>
      <c r="O28" s="61">
        <v>2026</v>
      </c>
      <c r="P28" s="61">
        <v>2027</v>
      </c>
      <c r="Q28" s="61">
        <v>2028</v>
      </c>
      <c r="R28" s="61">
        <v>2029</v>
      </c>
      <c r="S28" s="61">
        <v>2030</v>
      </c>
      <c r="T28" s="61">
        <v>2031</v>
      </c>
      <c r="U28" s="61">
        <v>2032</v>
      </c>
    </row>
    <row r="29" spans="1:21" x14ac:dyDescent="0.25">
      <c r="A29" s="49" t="s">
        <v>15</v>
      </c>
      <c r="B29" s="54">
        <f>VLOOKUP($A$29,'Tabla Resumen Prioritarias'!$A$14:$F$22,2,FALSE)</f>
        <v>7455.9975583291443</v>
      </c>
      <c r="C29" s="54">
        <f>VLOOKUP($A$29,'Tabla Resumen Prioritarias'!$A$14:$F$22,3,FALSE)</f>
        <v>7571.1309101920633</v>
      </c>
      <c r="D29" s="54">
        <f>VLOOKUP($A$29,'Tabla Resumen Prioritarias'!$A$14:$F$22,4,FALSE)</f>
        <v>6802.5087638073956</v>
      </c>
      <c r="E29" s="54">
        <f>VLOOKUP($A$29,'Tabla Resumen Prioritarias'!$A$14:$F$22,5,FALSE)</f>
        <v>6138.4415293878492</v>
      </c>
      <c r="F29" s="54">
        <f>VLOOKUP($A$29,'Tabla Resumen Prioritarias'!$A$14:$F$22,6,FALSE)</f>
        <v>6128.9641910759028</v>
      </c>
      <c r="G29" s="40">
        <f>F29+_xlfn.NUMBERVALUE(G30)</f>
        <v>6171.4914552248947</v>
      </c>
      <c r="H29" s="40">
        <f t="shared" ref="H29:U29" si="0">G29+_xlfn.NUMBERVALUE(H30)</f>
        <v>9639.3296586721845</v>
      </c>
      <c r="I29" s="40">
        <f t="shared" si="0"/>
        <v>9639.3296586721845</v>
      </c>
      <c r="J29" s="40">
        <f t="shared" si="0"/>
        <v>10097.1255753776</v>
      </c>
      <c r="K29" s="40">
        <f t="shared" si="0"/>
        <v>10103.800740889594</v>
      </c>
      <c r="L29" s="40">
        <f t="shared" si="0"/>
        <v>7461.9520400956835</v>
      </c>
      <c r="M29" s="40">
        <f t="shared" si="0"/>
        <v>7685.3547568277309</v>
      </c>
      <c r="N29" s="40">
        <f t="shared" si="0"/>
        <v>7685.3547568277309</v>
      </c>
      <c r="O29" s="40">
        <f t="shared" si="0"/>
        <v>7685.3547568277309</v>
      </c>
      <c r="P29" s="40">
        <f t="shared" si="0"/>
        <v>9390.78776916887</v>
      </c>
      <c r="Q29" s="40">
        <f t="shared" si="0"/>
        <v>7823.1607744684397</v>
      </c>
      <c r="R29" s="40">
        <f t="shared" si="0"/>
        <v>7823.1607744684397</v>
      </c>
      <c r="S29" s="40">
        <f t="shared" si="0"/>
        <v>8202.1379132138882</v>
      </c>
      <c r="T29" s="40">
        <f t="shared" si="0"/>
        <v>8202.1379132138882</v>
      </c>
      <c r="U29" s="40">
        <f t="shared" si="0"/>
        <v>8202.1379132138882</v>
      </c>
    </row>
    <row r="30" spans="1:21" x14ac:dyDescent="0.25">
      <c r="A30" t="s">
        <v>155</v>
      </c>
      <c r="G30" s="60">
        <f>IFERROR(VLOOKUP(G28,$B$34:$E$47,4,FALSE),"")/1000</f>
        <v>42.527264148992124</v>
      </c>
      <c r="H30" s="60">
        <f t="shared" ref="H30:S30" si="1">IFERROR(VLOOKUP(H28,$B$34:$E$47,4,FALSE),"")/1000</f>
        <v>3467.8382034472861</v>
      </c>
      <c r="I30" s="60">
        <f t="shared" si="1"/>
        <v>0</v>
      </c>
      <c r="J30" s="60">
        <f t="shared" si="1"/>
        <v>457.79591670541595</v>
      </c>
      <c r="K30" s="60">
        <f t="shared" si="1"/>
        <v>6.6751655119937015</v>
      </c>
      <c r="L30" s="60">
        <f t="shared" si="1"/>
        <v>-2641.8487007939116</v>
      </c>
      <c r="M30" s="60">
        <f>IFERROR(VLOOKUP(M28,$B$34:$E$47,4,FALSE),"")/1000</f>
        <v>223.40271673204722</v>
      </c>
      <c r="N30" s="60">
        <f t="shared" si="1"/>
        <v>0</v>
      </c>
      <c r="O30" s="60">
        <f t="shared" si="1"/>
        <v>0</v>
      </c>
      <c r="P30" s="60">
        <f t="shared" si="1"/>
        <v>1705.4330123411432</v>
      </c>
      <c r="Q30" s="60">
        <f t="shared" si="1"/>
        <v>-1567.6269947004328</v>
      </c>
      <c r="R30" s="60">
        <f t="shared" si="1"/>
        <v>0</v>
      </c>
      <c r="S30" s="60">
        <f t="shared" si="1"/>
        <v>378.97713874544883</v>
      </c>
      <c r="T30" s="60"/>
      <c r="U30" s="60"/>
    </row>
    <row r="32" spans="1:21" x14ac:dyDescent="0.25">
      <c r="B32" s="175"/>
      <c r="C32" s="175" t="s">
        <v>242</v>
      </c>
      <c r="D32" s="175"/>
      <c r="E32" s="175"/>
    </row>
    <row r="33" spans="1:9" ht="24" x14ac:dyDescent="0.25">
      <c r="B33" s="131" t="s">
        <v>156</v>
      </c>
      <c r="C33" s="132" t="s">
        <v>236</v>
      </c>
      <c r="D33" s="133" t="s">
        <v>237</v>
      </c>
      <c r="E33" s="133" t="s">
        <v>238</v>
      </c>
      <c r="F33" s="56"/>
      <c r="G33" s="55"/>
      <c r="H33" s="55"/>
      <c r="I33" s="55"/>
    </row>
    <row r="34" spans="1:9" x14ac:dyDescent="0.25">
      <c r="A34" s="129"/>
      <c r="B34" s="131">
        <v>2018</v>
      </c>
      <c r="C34" s="134">
        <v>42527.264148992123</v>
      </c>
      <c r="D34" s="134">
        <v>0</v>
      </c>
      <c r="E34" s="135">
        <v>42527.264148992123</v>
      </c>
      <c r="F34" s="136"/>
      <c r="G34" s="56"/>
      <c r="H34" s="56"/>
      <c r="I34" s="55"/>
    </row>
    <row r="35" spans="1:9" x14ac:dyDescent="0.25">
      <c r="A35" s="128"/>
      <c r="B35" s="131">
        <v>2019</v>
      </c>
      <c r="C35" s="134">
        <v>3467838.203447286</v>
      </c>
      <c r="D35" s="134">
        <v>0</v>
      </c>
      <c r="E35" s="135">
        <v>3467838.203447286</v>
      </c>
      <c r="F35" s="56"/>
      <c r="G35" s="56"/>
      <c r="H35" s="56"/>
      <c r="I35" s="55"/>
    </row>
    <row r="36" spans="1:9" x14ac:dyDescent="0.25">
      <c r="A36" s="128"/>
      <c r="B36" s="131">
        <v>2020</v>
      </c>
      <c r="C36" s="134">
        <v>0</v>
      </c>
      <c r="D36" s="134">
        <v>0</v>
      </c>
      <c r="E36" s="135">
        <v>0</v>
      </c>
      <c r="F36" s="137"/>
      <c r="G36" s="56"/>
      <c r="H36" s="56"/>
      <c r="I36" s="55"/>
    </row>
    <row r="37" spans="1:9" x14ac:dyDescent="0.25">
      <c r="A37" s="128"/>
      <c r="B37" s="131">
        <v>2021</v>
      </c>
      <c r="C37" s="134">
        <v>457795.91670541593</v>
      </c>
      <c r="D37" s="134">
        <v>0</v>
      </c>
      <c r="E37" s="135">
        <v>457795.91670541593</v>
      </c>
      <c r="F37" s="56"/>
      <c r="G37" s="56"/>
      <c r="H37" s="56"/>
      <c r="I37" s="55"/>
    </row>
    <row r="38" spans="1:9" x14ac:dyDescent="0.25">
      <c r="A38" s="128"/>
      <c r="B38" s="131">
        <v>2022</v>
      </c>
      <c r="C38" s="134">
        <v>6675.1655119937013</v>
      </c>
      <c r="D38" s="134">
        <v>0</v>
      </c>
      <c r="E38" s="135">
        <v>6675.1655119937013</v>
      </c>
      <c r="F38" s="137"/>
      <c r="G38" s="56"/>
      <c r="H38" s="56"/>
      <c r="I38" s="55"/>
    </row>
    <row r="39" spans="1:9" x14ac:dyDescent="0.25">
      <c r="A39" s="128"/>
      <c r="B39" s="131">
        <v>2023</v>
      </c>
      <c r="C39" s="134">
        <v>66751.655119937015</v>
      </c>
      <c r="D39" s="134">
        <v>2708600.3559138486</v>
      </c>
      <c r="E39" s="135">
        <v>-2641848.7007939117</v>
      </c>
      <c r="F39" s="56"/>
      <c r="G39" s="56"/>
      <c r="H39" s="56"/>
      <c r="I39" s="55"/>
    </row>
    <row r="40" spans="1:9" x14ac:dyDescent="0.25">
      <c r="A40" s="128"/>
      <c r="B40" s="131">
        <v>2024</v>
      </c>
      <c r="C40" s="134">
        <v>223402.71673204724</v>
      </c>
      <c r="D40" s="134">
        <v>0</v>
      </c>
      <c r="E40" s="135">
        <v>223402.71673204724</v>
      </c>
      <c r="F40" s="137"/>
      <c r="G40" s="56"/>
      <c r="H40" s="56"/>
      <c r="I40" s="55"/>
    </row>
    <row r="41" spans="1:9" x14ac:dyDescent="0.25">
      <c r="A41" s="128"/>
      <c r="B41" s="131">
        <v>2025</v>
      </c>
      <c r="C41" s="134">
        <v>0</v>
      </c>
      <c r="D41" s="134">
        <v>0</v>
      </c>
      <c r="E41" s="135">
        <v>0</v>
      </c>
      <c r="F41" s="137"/>
      <c r="G41" s="56"/>
      <c r="H41" s="56"/>
      <c r="I41" s="55"/>
    </row>
    <row r="42" spans="1:9" x14ac:dyDescent="0.25">
      <c r="A42" s="128"/>
      <c r="B42" s="131">
        <v>2026</v>
      </c>
      <c r="C42" s="134">
        <v>0</v>
      </c>
      <c r="D42" s="134">
        <v>0</v>
      </c>
      <c r="E42" s="135">
        <v>0</v>
      </c>
      <c r="F42" s="137"/>
      <c r="G42" s="56"/>
      <c r="H42" s="56"/>
      <c r="I42" s="55"/>
    </row>
    <row r="43" spans="1:9" x14ac:dyDescent="0.25">
      <c r="A43" s="128"/>
      <c r="B43" s="131">
        <v>2027</v>
      </c>
      <c r="C43" s="134">
        <v>1705433.0123411433</v>
      </c>
      <c r="D43" s="134">
        <v>0</v>
      </c>
      <c r="E43" s="135">
        <v>1705433.0123411433</v>
      </c>
      <c r="F43" s="56"/>
      <c r="G43" s="56"/>
      <c r="H43" s="56"/>
      <c r="I43" s="55"/>
    </row>
    <row r="44" spans="1:9" x14ac:dyDescent="0.25">
      <c r="A44" s="128"/>
      <c r="B44" s="131">
        <v>2028</v>
      </c>
      <c r="C44" s="134">
        <v>248075.70753578737</v>
      </c>
      <c r="D44" s="134">
        <v>1815702.7022362202</v>
      </c>
      <c r="E44" s="135">
        <v>-1567626.9947004328</v>
      </c>
      <c r="F44" s="56"/>
      <c r="G44" s="56"/>
      <c r="H44" s="56"/>
      <c r="I44" s="55"/>
    </row>
    <row r="45" spans="1:9" x14ac:dyDescent="0.25">
      <c r="A45" s="128"/>
      <c r="B45" s="131">
        <v>2029</v>
      </c>
      <c r="C45" s="134">
        <v>0</v>
      </c>
      <c r="D45" s="134">
        <v>0</v>
      </c>
      <c r="E45" s="135">
        <v>0</v>
      </c>
      <c r="F45" s="137"/>
      <c r="G45" s="56"/>
      <c r="H45" s="56"/>
      <c r="I45" s="55"/>
    </row>
    <row r="46" spans="1:9" x14ac:dyDescent="0.25">
      <c r="A46" s="128"/>
      <c r="B46" s="131">
        <v>2030</v>
      </c>
      <c r="C46" s="134">
        <v>378977.13874544884</v>
      </c>
      <c r="D46" s="134">
        <v>0</v>
      </c>
      <c r="E46" s="135">
        <v>378977.13874544884</v>
      </c>
      <c r="F46" s="137"/>
      <c r="G46" s="56"/>
      <c r="H46" s="56"/>
      <c r="I46" s="55"/>
    </row>
    <row r="47" spans="1:9" x14ac:dyDescent="0.25">
      <c r="A47" s="128"/>
      <c r="B47" s="131" t="s">
        <v>222</v>
      </c>
      <c r="C47" s="134">
        <v>6597476.7802880518</v>
      </c>
      <c r="D47" s="134">
        <v>4524303.0581500689</v>
      </c>
      <c r="E47" s="135">
        <v>2073173.722137983</v>
      </c>
      <c r="F47" s="137"/>
      <c r="G47" s="56"/>
      <c r="H47" s="56"/>
      <c r="I47" s="55"/>
    </row>
    <row r="48" spans="1:9" x14ac:dyDescent="0.25">
      <c r="A48" s="128"/>
      <c r="B48" s="79"/>
      <c r="C48" s="130"/>
      <c r="D48" s="130"/>
      <c r="F48" s="55"/>
      <c r="G48" s="56"/>
      <c r="H48" s="56"/>
      <c r="I48" s="55"/>
    </row>
    <row r="49" spans="1:9" x14ac:dyDescent="0.25">
      <c r="A49" s="128"/>
      <c r="B49" s="59" t="s">
        <v>240</v>
      </c>
      <c r="C49" s="130"/>
      <c r="D49" s="130"/>
      <c r="F49" s="55"/>
      <c r="G49" s="56"/>
      <c r="H49" s="56"/>
      <c r="I49" s="55"/>
    </row>
    <row r="50" spans="1:9" x14ac:dyDescent="0.25">
      <c r="A50" s="128"/>
      <c r="B50" s="79" t="s">
        <v>241</v>
      </c>
      <c r="C50" s="80"/>
      <c r="D50" s="80"/>
      <c r="F50" s="55"/>
      <c r="G50" s="55"/>
      <c r="H50" s="55"/>
      <c r="I50" s="55"/>
    </row>
  </sheetData>
  <mergeCells count="2">
    <mergeCell ref="G27:U27"/>
    <mergeCell ref="B27:F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D828-E81B-4F89-B7B6-6F4902A19953}">
  <dimension ref="A29:U75"/>
  <sheetViews>
    <sheetView topLeftCell="A28" workbookViewId="0">
      <selection activeCell="A30" sqref="A30"/>
    </sheetView>
  </sheetViews>
  <sheetFormatPr baseColWidth="10" defaultColWidth="9.140625" defaultRowHeight="15" x14ac:dyDescent="0.25"/>
  <cols>
    <col min="1" max="1" width="49.140625" bestFit="1" customWidth="1"/>
  </cols>
  <sheetData>
    <row r="29" spans="1:21" x14ac:dyDescent="0.25">
      <c r="A29" s="62" t="s">
        <v>161</v>
      </c>
      <c r="B29" s="61">
        <v>2013</v>
      </c>
      <c r="C29" s="61">
        <v>2014</v>
      </c>
      <c r="D29" s="61">
        <v>2015</v>
      </c>
      <c r="E29" s="61">
        <v>2016</v>
      </c>
      <c r="F29" s="61">
        <v>2017</v>
      </c>
      <c r="G29" s="61">
        <v>2018</v>
      </c>
      <c r="H29" s="61">
        <v>2019</v>
      </c>
      <c r="I29" s="61">
        <v>2020</v>
      </c>
      <c r="J29" s="61">
        <v>2021</v>
      </c>
      <c r="K29" s="61">
        <v>2022</v>
      </c>
      <c r="L29" s="61">
        <v>2023</v>
      </c>
      <c r="M29" s="61">
        <v>2024</v>
      </c>
      <c r="N29" s="61">
        <v>2025</v>
      </c>
      <c r="O29" s="61">
        <v>2026</v>
      </c>
      <c r="P29" s="61">
        <v>2027</v>
      </c>
      <c r="Q29" s="61">
        <v>2028</v>
      </c>
      <c r="R29" s="61">
        <v>2029</v>
      </c>
      <c r="S29" s="61">
        <v>2030</v>
      </c>
      <c r="T29" s="61">
        <v>2031</v>
      </c>
      <c r="U29" s="61">
        <v>2032</v>
      </c>
    </row>
    <row r="30" spans="1:21" x14ac:dyDescent="0.25">
      <c r="A30" t="s">
        <v>19</v>
      </c>
      <c r="B30" s="77">
        <f t="array" ref="B30:U30">TRANSPOSE(K44:K63)</f>
        <v>6466.6546529280531</v>
      </c>
      <c r="C30" s="77">
        <v>6351.7982648870675</v>
      </c>
      <c r="D30" s="77">
        <v>6767.5924952126079</v>
      </c>
      <c r="E30" s="77">
        <v>7002.7122418899453</v>
      </c>
      <c r="F30" s="77">
        <v>6878.3408594822758</v>
      </c>
      <c r="G30" s="77">
        <v>6892.847978876358</v>
      </c>
      <c r="H30" s="77">
        <v>6928.2063149709502</v>
      </c>
      <c r="I30" s="77">
        <v>6980.41330879015</v>
      </c>
      <c r="J30" s="77">
        <v>7048.9544975026729</v>
      </c>
      <c r="K30" s="77">
        <v>7133.8441717427413</v>
      </c>
      <c r="L30" s="77">
        <v>7234.8393907288919</v>
      </c>
      <c r="M30" s="77">
        <v>7351.4828541666502</v>
      </c>
      <c r="N30" s="77">
        <v>7484.58912820556</v>
      </c>
      <c r="O30" s="77">
        <v>7633.7866563563657</v>
      </c>
      <c r="P30" s="77">
        <v>7799.1468917900711</v>
      </c>
      <c r="Q30" s="77">
        <v>7980.7984502144973</v>
      </c>
      <c r="R30" s="77">
        <v>8178.4983908481954</v>
      </c>
      <c r="S30" s="77">
        <v>8392.9326641328953</v>
      </c>
      <c r="T30" s="77">
        <v>8622.5684501058568</v>
      </c>
      <c r="U30" s="77">
        <v>8868.8193480615591</v>
      </c>
    </row>
    <row r="35" spans="1:11" x14ac:dyDescent="0.25">
      <c r="A35" s="73"/>
      <c r="B35" s="79"/>
      <c r="C35" s="79"/>
      <c r="D35" s="79"/>
      <c r="H35" s="57"/>
      <c r="I35" s="57"/>
      <c r="J35" s="57"/>
      <c r="K35" s="57"/>
    </row>
    <row r="36" spans="1:11" x14ac:dyDescent="0.25">
      <c r="A36" s="74"/>
      <c r="B36" s="75"/>
      <c r="C36" s="75"/>
      <c r="D36" s="75"/>
      <c r="H36" s="57"/>
      <c r="I36" s="57"/>
      <c r="J36" s="57"/>
      <c r="K36" s="57"/>
    </row>
    <row r="37" spans="1:11" x14ac:dyDescent="0.25">
      <c r="A37" s="74"/>
      <c r="B37" s="75"/>
      <c r="C37" s="75"/>
      <c r="D37" s="75"/>
      <c r="H37" s="57"/>
      <c r="I37" s="57"/>
      <c r="J37" s="57"/>
      <c r="K37" s="86"/>
    </row>
    <row r="38" spans="1:11" x14ac:dyDescent="0.25">
      <c r="A38" s="74"/>
      <c r="B38" s="75"/>
      <c r="C38" s="75"/>
      <c r="D38" s="75"/>
      <c r="H38" s="57"/>
      <c r="I38" s="57"/>
      <c r="J38" s="57"/>
      <c r="K38" s="57"/>
    </row>
    <row r="39" spans="1:11" x14ac:dyDescent="0.25">
      <c r="A39" s="74"/>
      <c r="B39" s="75"/>
      <c r="C39" s="75"/>
      <c r="D39" s="75"/>
      <c r="H39" s="57"/>
      <c r="I39" s="57"/>
      <c r="J39" s="57"/>
      <c r="K39" s="57"/>
    </row>
    <row r="40" spans="1:11" x14ac:dyDescent="0.25">
      <c r="A40" s="74"/>
      <c r="B40" s="75"/>
      <c r="C40" s="75"/>
      <c r="D40" s="75"/>
      <c r="H40" s="57"/>
      <c r="I40" s="57"/>
      <c r="J40" s="57"/>
      <c r="K40" s="57"/>
    </row>
    <row r="41" spans="1:11" x14ac:dyDescent="0.25">
      <c r="A41" s="80"/>
      <c r="B41" s="80"/>
      <c r="C41" s="80"/>
      <c r="D41" s="80"/>
      <c r="H41" s="57"/>
      <c r="I41" s="57"/>
      <c r="J41" s="57"/>
      <c r="K41" s="57"/>
    </row>
    <row r="42" spans="1:11" x14ac:dyDescent="0.25">
      <c r="A42" s="80"/>
      <c r="B42" s="80"/>
      <c r="C42" s="85"/>
      <c r="D42" s="85"/>
      <c r="H42" s="171" t="s">
        <v>188</v>
      </c>
      <c r="I42" s="171"/>
      <c r="J42" s="171"/>
      <c r="K42" s="171"/>
    </row>
    <row r="43" spans="1:11" x14ac:dyDescent="0.25">
      <c r="A43" s="80"/>
      <c r="B43" s="80"/>
      <c r="C43" s="81"/>
      <c r="D43" s="81"/>
      <c r="H43" s="57" t="s">
        <v>156</v>
      </c>
      <c r="I43" s="57" t="s">
        <v>180</v>
      </c>
      <c r="J43" s="57" t="s">
        <v>187</v>
      </c>
      <c r="K43" s="57" t="s">
        <v>181</v>
      </c>
    </row>
    <row r="44" spans="1:11" x14ac:dyDescent="0.25">
      <c r="A44" s="80"/>
      <c r="B44" s="80"/>
      <c r="C44" s="82"/>
      <c r="D44" s="82"/>
      <c r="H44" s="57">
        <v>2013</v>
      </c>
      <c r="I44" s="70">
        <v>470103.08199999999</v>
      </c>
      <c r="J44" s="70">
        <v>3561704</v>
      </c>
      <c r="K44" s="70">
        <v>6466.6546529280531</v>
      </c>
    </row>
    <row r="45" spans="1:11" x14ac:dyDescent="0.25">
      <c r="A45" s="80"/>
      <c r="B45" s="80"/>
      <c r="C45" s="82"/>
      <c r="D45" s="82"/>
      <c r="H45" s="57">
        <v>2014</v>
      </c>
      <c r="I45" s="70">
        <v>480808.75</v>
      </c>
      <c r="J45" s="70">
        <v>3590344</v>
      </c>
      <c r="K45" s="70">
        <v>6351.7982648870675</v>
      </c>
    </row>
    <row r="46" spans="1:11" x14ac:dyDescent="0.25">
      <c r="A46" s="80"/>
      <c r="B46" s="80"/>
      <c r="C46" s="82"/>
      <c r="D46" s="82"/>
      <c r="H46" s="57">
        <v>2015</v>
      </c>
      <c r="I46" s="70">
        <v>508863.52400000009</v>
      </c>
      <c r="J46" s="70">
        <v>3616481</v>
      </c>
      <c r="K46" s="70">
        <v>6767.5924952126079</v>
      </c>
    </row>
    <row r="47" spans="1:11" x14ac:dyDescent="0.25">
      <c r="A47" s="80"/>
      <c r="B47" s="80"/>
      <c r="C47" s="82"/>
      <c r="D47" s="80"/>
      <c r="H47" s="57">
        <v>2016</v>
      </c>
      <c r="I47" s="70">
        <v>534161.16700000002</v>
      </c>
      <c r="J47" s="70">
        <v>3649416</v>
      </c>
      <c r="K47" s="70">
        <v>7002.7122418899453</v>
      </c>
    </row>
    <row r="48" spans="1:11" x14ac:dyDescent="0.25">
      <c r="A48" s="80"/>
      <c r="B48" s="80"/>
      <c r="C48" s="82"/>
      <c r="D48" s="80"/>
      <c r="H48" s="57">
        <v>2017</v>
      </c>
      <c r="I48" s="70">
        <v>550342.57799999998</v>
      </c>
      <c r="J48" s="70">
        <v>3689398</v>
      </c>
      <c r="K48" s="70">
        <v>6878.3408594822758</v>
      </c>
    </row>
    <row r="49" spans="1:11" x14ac:dyDescent="0.25">
      <c r="A49" s="80"/>
      <c r="B49" s="80"/>
      <c r="C49" s="80"/>
      <c r="D49" s="80"/>
      <c r="H49" s="57">
        <v>2018</v>
      </c>
      <c r="I49" s="70">
        <v>569942.30640000105</v>
      </c>
      <c r="J49" s="70">
        <v>3727984</v>
      </c>
      <c r="K49" s="70">
        <v>6892.847978876358</v>
      </c>
    </row>
    <row r="50" spans="1:11" x14ac:dyDescent="0.25">
      <c r="A50" s="80"/>
      <c r="B50" s="83"/>
      <c r="C50" s="83"/>
      <c r="D50" s="83"/>
      <c r="H50" s="57">
        <v>2019</v>
      </c>
      <c r="I50" s="70">
        <v>590104.40119999647</v>
      </c>
      <c r="J50" s="70">
        <v>3765325</v>
      </c>
      <c r="K50" s="70">
        <v>6928.2063149709502</v>
      </c>
    </row>
    <row r="51" spans="1:11" x14ac:dyDescent="0.25">
      <c r="A51" s="84"/>
      <c r="B51" s="76"/>
      <c r="C51" s="76"/>
      <c r="D51" s="75"/>
      <c r="H51" s="57">
        <v>2020</v>
      </c>
      <c r="I51" s="70">
        <v>610266.49599999934</v>
      </c>
      <c r="J51" s="70">
        <v>3801487</v>
      </c>
      <c r="K51" s="70">
        <v>6980.41330879015</v>
      </c>
    </row>
    <row r="52" spans="1:11" x14ac:dyDescent="0.25">
      <c r="A52" s="84"/>
      <c r="B52" s="76"/>
      <c r="C52" s="76"/>
      <c r="D52" s="75"/>
      <c r="H52" s="57">
        <v>2021</v>
      </c>
      <c r="I52" s="70">
        <v>630428.59079999477</v>
      </c>
      <c r="J52" s="70">
        <v>3836506</v>
      </c>
      <c r="K52" s="70">
        <v>7048.9544975026729</v>
      </c>
    </row>
    <row r="53" spans="1:11" x14ac:dyDescent="0.25">
      <c r="A53" s="84"/>
      <c r="B53" s="76"/>
      <c r="C53" s="76"/>
      <c r="D53" s="75"/>
      <c r="H53" s="57">
        <v>2022</v>
      </c>
      <c r="I53" s="70">
        <v>650590.68559999764</v>
      </c>
      <c r="J53" s="70">
        <v>3870381</v>
      </c>
      <c r="K53" s="70">
        <v>7133.8441717427413</v>
      </c>
    </row>
    <row r="54" spans="1:11" x14ac:dyDescent="0.25">
      <c r="A54" s="84"/>
      <c r="B54" s="76"/>
      <c r="C54" s="76"/>
      <c r="D54" s="75"/>
      <c r="H54" s="57">
        <v>2023</v>
      </c>
      <c r="I54" s="70">
        <v>670752.78040000051</v>
      </c>
      <c r="J54" s="70">
        <v>3903129</v>
      </c>
      <c r="K54" s="70">
        <v>7234.8393907288919</v>
      </c>
    </row>
    <row r="55" spans="1:11" x14ac:dyDescent="0.25">
      <c r="A55" s="84"/>
      <c r="B55" s="76"/>
      <c r="C55" s="76"/>
      <c r="D55" s="75"/>
      <c r="H55" s="57">
        <v>2024</v>
      </c>
      <c r="I55" s="70">
        <v>690914.87519999593</v>
      </c>
      <c r="J55" s="70">
        <v>3934782</v>
      </c>
      <c r="K55" s="70">
        <v>7351.4828541666502</v>
      </c>
    </row>
    <row r="56" spans="1:11" x14ac:dyDescent="0.25">
      <c r="A56" s="84"/>
      <c r="B56" s="75"/>
      <c r="C56" s="75"/>
      <c r="D56" s="75"/>
      <c r="H56" s="57">
        <v>2025</v>
      </c>
      <c r="I56" s="70">
        <v>711076.96999999881</v>
      </c>
      <c r="J56" s="70">
        <v>3965283</v>
      </c>
      <c r="K56" s="70">
        <v>7484.58912820556</v>
      </c>
    </row>
    <row r="57" spans="1:11" x14ac:dyDescent="0.25">
      <c r="A57" s="84"/>
      <c r="B57" s="75"/>
      <c r="C57" s="75"/>
      <c r="D57" s="75"/>
      <c r="H57" s="57">
        <v>2026</v>
      </c>
      <c r="I57" s="70">
        <v>731239.06479999423</v>
      </c>
      <c r="J57" s="70">
        <v>3994658</v>
      </c>
      <c r="K57" s="70">
        <v>7633.7866563563657</v>
      </c>
    </row>
    <row r="58" spans="1:11" x14ac:dyDescent="0.25">
      <c r="A58" s="84"/>
      <c r="B58" s="75"/>
      <c r="C58" s="75"/>
      <c r="D58" s="75"/>
      <c r="H58" s="57">
        <v>2027</v>
      </c>
      <c r="I58" s="70">
        <v>751401.1595999971</v>
      </c>
      <c r="J58" s="70">
        <v>4022902</v>
      </c>
      <c r="K58" s="70">
        <v>7799.1468917900711</v>
      </c>
    </row>
    <row r="59" spans="1:11" x14ac:dyDescent="0.25">
      <c r="A59" s="84"/>
      <c r="B59" s="75"/>
      <c r="C59" s="75"/>
      <c r="D59" s="75"/>
      <c r="H59" s="57">
        <v>2028</v>
      </c>
      <c r="I59" s="70">
        <v>771563.25439999998</v>
      </c>
      <c r="J59" s="70">
        <v>4050006</v>
      </c>
      <c r="K59" s="70">
        <v>7980.7984502144973</v>
      </c>
    </row>
    <row r="60" spans="1:11" x14ac:dyDescent="0.25">
      <c r="A60" s="84"/>
      <c r="B60" s="75"/>
      <c r="C60" s="75"/>
      <c r="D60" s="75"/>
      <c r="H60" s="57">
        <v>2029</v>
      </c>
      <c r="I60" s="70">
        <v>791725.3491999954</v>
      </c>
      <c r="J60" s="70">
        <v>4075987</v>
      </c>
      <c r="K60" s="70">
        <v>8178.4983908481954</v>
      </c>
    </row>
    <row r="61" spans="1:11" x14ac:dyDescent="0.25">
      <c r="A61" s="84"/>
      <c r="B61" s="75"/>
      <c r="C61" s="75"/>
      <c r="D61" s="75"/>
      <c r="H61" s="57">
        <v>2030</v>
      </c>
      <c r="I61" s="70">
        <v>811887.44399999827</v>
      </c>
      <c r="J61" s="70">
        <v>4100797</v>
      </c>
      <c r="K61" s="70">
        <v>8392.9326641328953</v>
      </c>
    </row>
    <row r="62" spans="1:11" x14ac:dyDescent="0.25">
      <c r="A62" s="84"/>
      <c r="B62" s="75"/>
      <c r="C62" s="75"/>
      <c r="D62" s="75"/>
      <c r="H62" s="57">
        <v>2031</v>
      </c>
      <c r="I62" s="70">
        <v>832049.53880000114</v>
      </c>
      <c r="J62" s="70">
        <v>4124543.2604575157</v>
      </c>
      <c r="K62" s="70">
        <v>8622.5684501058568</v>
      </c>
    </row>
    <row r="63" spans="1:11" x14ac:dyDescent="0.25">
      <c r="A63" s="84"/>
      <c r="B63" s="75"/>
      <c r="C63" s="75"/>
      <c r="D63" s="75"/>
      <c r="H63" s="57">
        <v>2032</v>
      </c>
      <c r="I63" s="70">
        <v>852211.63359999657</v>
      </c>
      <c r="J63" s="70">
        <v>4147126.8634886742</v>
      </c>
      <c r="K63" s="70">
        <v>8868.8193480615591</v>
      </c>
    </row>
    <row r="64" spans="1:11" x14ac:dyDescent="0.25">
      <c r="A64" s="84"/>
      <c r="B64" s="75"/>
      <c r="C64" s="75"/>
      <c r="D64" s="75"/>
    </row>
    <row r="65" spans="1:9" x14ac:dyDescent="0.25">
      <c r="A65" s="84"/>
      <c r="B65" s="75"/>
      <c r="C65" s="75"/>
      <c r="D65" s="75"/>
    </row>
    <row r="66" spans="1:9" x14ac:dyDescent="0.25">
      <c r="A66" s="84"/>
      <c r="B66" s="75"/>
      <c r="C66" s="75"/>
      <c r="D66" s="75"/>
    </row>
    <row r="67" spans="1:9" x14ac:dyDescent="0.25">
      <c r="A67" s="84"/>
      <c r="B67" s="75"/>
      <c r="C67" s="75"/>
      <c r="D67" s="75"/>
    </row>
    <row r="68" spans="1:9" x14ac:dyDescent="0.25">
      <c r="A68" s="84"/>
      <c r="B68" s="75"/>
      <c r="C68" s="75"/>
      <c r="D68" s="75"/>
    </row>
    <row r="69" spans="1:9" x14ac:dyDescent="0.25">
      <c r="A69" s="84"/>
      <c r="B69" s="75"/>
      <c r="C69" s="75"/>
      <c r="D69" s="75"/>
    </row>
    <row r="70" spans="1:9" x14ac:dyDescent="0.25">
      <c r="A70" s="84"/>
      <c r="B70" s="75"/>
      <c r="C70" s="75"/>
      <c r="D70" s="75"/>
    </row>
    <row r="71" spans="1:9" x14ac:dyDescent="0.25">
      <c r="B71" s="57" t="s">
        <v>182</v>
      </c>
    </row>
    <row r="72" spans="1:9" x14ac:dyDescent="0.25">
      <c r="B72" s="57" t="s">
        <v>183</v>
      </c>
    </row>
    <row r="73" spans="1:9" x14ac:dyDescent="0.25">
      <c r="B73" s="57" t="s">
        <v>184</v>
      </c>
    </row>
    <row r="74" spans="1:9" x14ac:dyDescent="0.25">
      <c r="B74" s="57" t="s">
        <v>185</v>
      </c>
    </row>
    <row r="75" spans="1:9" x14ac:dyDescent="0.25">
      <c r="B75" s="170" t="s">
        <v>186</v>
      </c>
      <c r="C75" s="170"/>
      <c r="D75" s="170"/>
      <c r="E75" s="170"/>
      <c r="F75" s="170"/>
      <c r="G75" s="170"/>
      <c r="H75" s="170"/>
      <c r="I75" s="170"/>
    </row>
  </sheetData>
  <mergeCells count="2">
    <mergeCell ref="B75:I75"/>
    <mergeCell ref="H42:K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D08E-26DE-4A94-9FFD-97C5019F4B3F}">
  <dimension ref="A30:U68"/>
  <sheetViews>
    <sheetView topLeftCell="A43" workbookViewId="0">
      <selection activeCell="D23" sqref="D23"/>
    </sheetView>
  </sheetViews>
  <sheetFormatPr baseColWidth="10" defaultColWidth="9.140625" defaultRowHeight="15" x14ac:dyDescent="0.25"/>
  <cols>
    <col min="1" max="1" width="49.7109375" bestFit="1" customWidth="1"/>
    <col min="3" max="5" width="17.42578125" customWidth="1"/>
  </cols>
  <sheetData>
    <row r="30" spans="1:21" x14ac:dyDescent="0.25">
      <c r="A30" s="62" t="s">
        <v>161</v>
      </c>
      <c r="B30" s="61">
        <v>2013</v>
      </c>
      <c r="C30" s="61">
        <v>2014</v>
      </c>
      <c r="D30" s="61">
        <v>2015</v>
      </c>
      <c r="E30" s="61">
        <v>2016</v>
      </c>
      <c r="F30" s="61">
        <v>2017</v>
      </c>
      <c r="G30" s="61">
        <v>2018</v>
      </c>
      <c r="H30" s="61">
        <v>2019</v>
      </c>
      <c r="I30" s="61">
        <v>2020</v>
      </c>
      <c r="J30" s="61">
        <v>2021</v>
      </c>
      <c r="K30" s="61">
        <v>2022</v>
      </c>
      <c r="L30" s="61">
        <v>2023</v>
      </c>
      <c r="M30" s="61">
        <v>2024</v>
      </c>
      <c r="N30" s="61">
        <v>2025</v>
      </c>
      <c r="O30" s="61">
        <v>2026</v>
      </c>
      <c r="P30" s="61">
        <v>2027</v>
      </c>
      <c r="Q30" s="61">
        <v>2028</v>
      </c>
      <c r="R30" s="61">
        <v>2029</v>
      </c>
      <c r="S30" s="61">
        <v>2030</v>
      </c>
      <c r="T30" s="61">
        <v>2031</v>
      </c>
      <c r="U30" s="61">
        <v>2032</v>
      </c>
    </row>
    <row r="31" spans="1:21" x14ac:dyDescent="0.25">
      <c r="A31" t="str">
        <f>'Tabla Resumen Prioritarias'!A31</f>
        <v>3A2a Bovinos</v>
      </c>
      <c r="B31" s="72">
        <f>'Tabla Resumen Prioritarias'!B31</f>
        <v>3600.3411524080839</v>
      </c>
      <c r="C31" s="72">
        <f>'Tabla Resumen Prioritarias'!C31</f>
        <v>3684.2695272366668</v>
      </c>
      <c r="D31" s="72">
        <f>'Tabla Resumen Prioritarias'!D31</f>
        <v>3817.6399996797709</v>
      </c>
      <c r="E31" s="72">
        <f>'Tabla Resumen Prioritarias'!E31</f>
        <v>4423.6938958774172</v>
      </c>
      <c r="F31" s="72">
        <f>'Tabla Resumen Prioritarias'!F31</f>
        <v>4605.358367948681</v>
      </c>
      <c r="G31" s="72">
        <f t="array" ref="G31:U31">TRANSPOSE(E50:E64)</f>
        <v>4395.0792369798346</v>
      </c>
      <c r="H31" s="72">
        <v>4526.1708016312668</v>
      </c>
      <c r="I31" s="72">
        <v>4661.1724205493392</v>
      </c>
      <c r="J31" s="72">
        <v>4800.2007185100847</v>
      </c>
      <c r="K31" s="72">
        <v>4943.3757988444349</v>
      </c>
      <c r="L31" s="72">
        <v>5090.8213471926956</v>
      </c>
      <c r="M31" s="72">
        <v>5242.6647383537165</v>
      </c>
      <c r="N31" s="72">
        <v>5399.0371463210322</v>
      </c>
      <c r="O31" s="72">
        <v>5560.0736576010404</v>
      </c>
      <c r="P31" s="72">
        <v>5725.9133879111123</v>
      </c>
      <c r="Q31" s="72">
        <v>5896.6996023584461</v>
      </c>
      <c r="R31" s="72">
        <v>6072.5798392034685</v>
      </c>
      <c r="S31" s="72">
        <v>6253.7060373147378</v>
      </c>
      <c r="T31" s="72">
        <v>6440.2346674254077</v>
      </c>
      <c r="U31" s="72">
        <v>6632.3268673046896</v>
      </c>
    </row>
    <row r="32" spans="1:21" x14ac:dyDescent="0.25">
      <c r="A32" t="str">
        <f>'Tabla Resumen Prioritarias'!A32</f>
        <v>3A1a Bovino</v>
      </c>
      <c r="B32" s="72">
        <f>'Tabla Resumen Prioritarias'!B32</f>
        <v>3237.0198383011998</v>
      </c>
      <c r="C32" s="72">
        <f>'Tabla Resumen Prioritarias'!C32</f>
        <v>3315.9102162787999</v>
      </c>
      <c r="D32" s="72">
        <f>'Tabla Resumen Prioritarias'!D32</f>
        <v>3479.1418364527999</v>
      </c>
      <c r="E32" s="72">
        <f>'Tabla Resumen Prioritarias'!E32</f>
        <v>3860.5180900104001</v>
      </c>
      <c r="F32" s="72">
        <f>'Tabla Resumen Prioritarias'!F32</f>
        <v>3960.1264578540004</v>
      </c>
      <c r="G32" s="72">
        <f t="array" ref="G32">TRANSPOSE(D50:D64)</f>
        <v>3891.035283821217</v>
      </c>
      <c r="H32" s="72">
        <v>4007.0927826663496</v>
      </c>
      <c r="I32" s="72">
        <v>4126.6119162836476</v>
      </c>
      <c r="J32" s="72">
        <v>4249.6959344881989</v>
      </c>
      <c r="K32" s="72">
        <v>4376.4511667164388</v>
      </c>
      <c r="L32" s="72">
        <v>4506.9871138816798</v>
      </c>
      <c r="M32" s="72">
        <v>4641.4165429694249</v>
      </c>
      <c r="N32" s="72">
        <v>4779.8555844541515</v>
      </c>
      <c r="O32" s="72">
        <v>4922.4238326217464</v>
      </c>
      <c r="P32" s="72">
        <v>5069.2444488842439</v>
      </c>
      <c r="Q32" s="72">
        <v>5220.4442681761211</v>
      </c>
      <c r="R32" s="72">
        <v>5376.1539085240574</v>
      </c>
      <c r="S32" s="72">
        <v>5536.5078838848376</v>
      </c>
      <c r="T32" s="72">
        <v>5701.644720348836</v>
      </c>
      <c r="U32" s="72">
        <v>5871.7070758095169</v>
      </c>
    </row>
    <row r="35" spans="2:5" x14ac:dyDescent="0.25">
      <c r="B35" s="68" t="s">
        <v>168</v>
      </c>
      <c r="C35" s="57">
        <v>2.9826894484276778E-2</v>
      </c>
      <c r="D35" s="57"/>
      <c r="E35" s="57"/>
    </row>
    <row r="36" spans="2:5" ht="16.5" x14ac:dyDescent="0.3">
      <c r="B36" s="68" t="s">
        <v>169</v>
      </c>
      <c r="C36" s="57">
        <v>2008</v>
      </c>
      <c r="D36" s="173" t="s">
        <v>171</v>
      </c>
      <c r="E36" s="173"/>
    </row>
    <row r="37" spans="2:5" ht="16.5" x14ac:dyDescent="0.3">
      <c r="B37" s="69" t="s">
        <v>170</v>
      </c>
      <c r="C37" s="70">
        <v>1740904.6120000035</v>
      </c>
      <c r="D37" s="71">
        <v>1.6658960500000001E-3</v>
      </c>
      <c r="E37" s="71">
        <v>1.8816958999999999E-3</v>
      </c>
    </row>
    <row r="38" spans="2:5" ht="24" x14ac:dyDescent="0.25">
      <c r="B38" s="65" t="s">
        <v>156</v>
      </c>
      <c r="C38" s="65" t="s">
        <v>162</v>
      </c>
      <c r="D38" s="65" t="s">
        <v>163</v>
      </c>
      <c r="E38" s="65" t="s">
        <v>164</v>
      </c>
    </row>
    <row r="39" spans="2:5" x14ac:dyDescent="0.25">
      <c r="B39" s="57"/>
      <c r="C39" s="66" t="s">
        <v>165</v>
      </c>
      <c r="D39" s="66" t="s">
        <v>166</v>
      </c>
      <c r="E39" s="66" t="s">
        <v>166</v>
      </c>
    </row>
    <row r="40" spans="2:5" x14ac:dyDescent="0.25">
      <c r="B40" s="57">
        <v>2008</v>
      </c>
      <c r="C40" s="67">
        <f>$C$37*(1+$C$35)^(B40-$C$36)</f>
        <v>1740904.6120000035</v>
      </c>
      <c r="D40" s="67">
        <f>$D$37*C40</f>
        <v>2900.1661165575883</v>
      </c>
      <c r="E40" s="67">
        <f>$E$37*C40</f>
        <v>3275.8530706914971</v>
      </c>
    </row>
    <row r="41" spans="2:5" x14ac:dyDescent="0.25">
      <c r="B41" s="57">
        <v>2009</v>
      </c>
      <c r="C41" s="67">
        <f t="shared" ref="C41:C64" si="0">$C$37*(1+$C$35)^(B41-$C$36)</f>
        <v>1792830.3901693183</v>
      </c>
      <c r="D41" s="67">
        <f t="shared" ref="D41:D64" si="1">$D$37*C41</f>
        <v>2986.6690653030264</v>
      </c>
      <c r="E41" s="67">
        <f t="shared" ref="E41:E64" si="2">$E$37*C41</f>
        <v>3373.5615945770064</v>
      </c>
    </row>
    <row r="42" spans="2:5" x14ac:dyDescent="0.25">
      <c r="B42" s="57">
        <v>2010</v>
      </c>
      <c r="C42" s="67">
        <f t="shared" si="0"/>
        <v>1846304.9530451035</v>
      </c>
      <c r="D42" s="67">
        <f t="shared" si="1"/>
        <v>3075.7521283732735</v>
      </c>
      <c r="E42" s="67">
        <f t="shared" si="2"/>
        <v>3474.1844602946635</v>
      </c>
    </row>
    <row r="43" spans="2:5" x14ac:dyDescent="0.25">
      <c r="B43" s="57">
        <v>2011</v>
      </c>
      <c r="C43" s="67">
        <f t="shared" si="0"/>
        <v>1901374.4960653773</v>
      </c>
      <c r="D43" s="67">
        <f t="shared" si="1"/>
        <v>3167.4922625660524</v>
      </c>
      <c r="E43" s="67">
        <f t="shared" si="2"/>
        <v>3577.8085936107864</v>
      </c>
    </row>
    <row r="44" spans="2:5" x14ac:dyDescent="0.25">
      <c r="B44" s="57">
        <v>2012</v>
      </c>
      <c r="C44" s="67">
        <f t="shared" si="0"/>
        <v>1958086.5925346145</v>
      </c>
      <c r="D44" s="67">
        <f t="shared" si="1"/>
        <v>3261.9687200613739</v>
      </c>
      <c r="E44" s="67">
        <f t="shared" si="2"/>
        <v>3684.5235130173546</v>
      </c>
    </row>
    <row r="45" spans="2:5" x14ac:dyDescent="0.25">
      <c r="B45" s="57">
        <v>2013</v>
      </c>
      <c r="C45" s="67">
        <f t="shared" si="0"/>
        <v>2016490.2347212215</v>
      </c>
      <c r="D45" s="67">
        <f t="shared" si="1"/>
        <v>3359.263116885656</v>
      </c>
      <c r="E45" s="67">
        <f t="shared" si="2"/>
        <v>3794.42140706496</v>
      </c>
    </row>
    <row r="46" spans="2:5" x14ac:dyDescent="0.25">
      <c r="B46" s="57">
        <v>2014</v>
      </c>
      <c r="C46" s="67">
        <f t="shared" si="0"/>
        <v>2076635.8761808262</v>
      </c>
      <c r="D46" s="67">
        <f t="shared" si="1"/>
        <v>3459.4595034179274</v>
      </c>
      <c r="E46" s="67">
        <f t="shared" si="2"/>
        <v>3907.5972140023682</v>
      </c>
    </row>
    <row r="47" spans="2:5" x14ac:dyDescent="0.25">
      <c r="B47" s="57">
        <v>2015</v>
      </c>
      <c r="C47" s="67">
        <f t="shared" si="0"/>
        <v>2138575.4753419352</v>
      </c>
      <c r="D47" s="67">
        <f t="shared" si="1"/>
        <v>3562.6444369990022</v>
      </c>
      <c r="E47" s="67">
        <f t="shared" si="2"/>
        <v>4024.1487037914703</v>
      </c>
    </row>
    <row r="48" spans="2:5" x14ac:dyDescent="0.25">
      <c r="B48" s="57">
        <v>2016</v>
      </c>
      <c r="C48" s="67">
        <f t="shared" si="0"/>
        <v>2202362.5403916216</v>
      </c>
      <c r="D48" s="67">
        <f t="shared" si="1"/>
        <v>3668.9070567063682</v>
      </c>
      <c r="E48" s="67">
        <f t="shared" si="2"/>
        <v>4144.1765625684984</v>
      </c>
    </row>
    <row r="49" spans="2:9" x14ac:dyDescent="0.25">
      <c r="B49" s="57">
        <v>2017</v>
      </c>
      <c r="C49" s="67">
        <f t="shared" si="0"/>
        <v>2268052.1755000064</v>
      </c>
      <c r="D49" s="67">
        <f t="shared" si="1"/>
        <v>3778.3391603593677</v>
      </c>
      <c r="E49" s="67">
        <f t="shared" si="2"/>
        <v>4267.7844796244426</v>
      </c>
    </row>
    <row r="50" spans="2:9" x14ac:dyDescent="0.25">
      <c r="B50" s="57">
        <v>2018</v>
      </c>
      <c r="C50" s="67">
        <f t="shared" si="0"/>
        <v>2335701.1284234794</v>
      </c>
      <c r="D50" s="67">
        <f t="shared" si="1"/>
        <v>3891.035283821217</v>
      </c>
      <c r="E50" s="67">
        <f t="shared" si="2"/>
        <v>4395.0792369798346</v>
      </c>
      <c r="H50" s="67">
        <v>3891.035283821217</v>
      </c>
      <c r="I50" s="67">
        <v>4395.0792369798346</v>
      </c>
    </row>
    <row r="51" spans="2:9" x14ac:dyDescent="0.25">
      <c r="B51" s="57">
        <v>2019</v>
      </c>
      <c r="C51" s="67">
        <f t="shared" si="0"/>
        <v>2405367.8395277723</v>
      </c>
      <c r="D51" s="67">
        <f t="shared" si="1"/>
        <v>4007.0927826663496</v>
      </c>
      <c r="E51" s="67">
        <f t="shared" si="2"/>
        <v>4526.1708016312668</v>
      </c>
      <c r="H51" s="67">
        <v>4007.0927826663496</v>
      </c>
      <c r="I51" s="67">
        <v>4526.1708016312668</v>
      </c>
    </row>
    <row r="52" spans="2:9" x14ac:dyDescent="0.25">
      <c r="B52" s="57">
        <v>2020</v>
      </c>
      <c r="C52" s="67">
        <f t="shared" si="0"/>
        <v>2477112.4922732408</v>
      </c>
      <c r="D52" s="67">
        <f t="shared" si="1"/>
        <v>4126.6119162836476</v>
      </c>
      <c r="E52" s="67">
        <f t="shared" si="2"/>
        <v>4661.1724205493392</v>
      </c>
      <c r="H52" s="67">
        <v>4126.6119162836476</v>
      </c>
      <c r="I52" s="67">
        <v>4661.1724205493392</v>
      </c>
    </row>
    <row r="53" spans="2:9" x14ac:dyDescent="0.25">
      <c r="B53" s="57">
        <v>2021</v>
      </c>
      <c r="C53" s="67">
        <f t="shared" si="0"/>
        <v>2550997.0652059587</v>
      </c>
      <c r="D53" s="67">
        <f t="shared" si="1"/>
        <v>4249.6959344881989</v>
      </c>
      <c r="E53" s="67">
        <f t="shared" si="2"/>
        <v>4800.2007185100847</v>
      </c>
      <c r="H53" s="67">
        <v>4249.6959344881989</v>
      </c>
      <c r="I53" s="67">
        <v>4800.2007185100847</v>
      </c>
    </row>
    <row r="54" spans="2:9" x14ac:dyDescent="0.25">
      <c r="B54" s="57">
        <v>2022</v>
      </c>
      <c r="C54" s="67">
        <f t="shared" si="0"/>
        <v>2627085.3854995565</v>
      </c>
      <c r="D54" s="67">
        <f t="shared" si="1"/>
        <v>4376.4511667164388</v>
      </c>
      <c r="E54" s="67">
        <f t="shared" si="2"/>
        <v>4943.3757988444349</v>
      </c>
      <c r="H54" s="67">
        <v>4376.4511667164388</v>
      </c>
      <c r="I54" s="67">
        <v>4943.3757988444349</v>
      </c>
    </row>
    <row r="55" spans="2:9" x14ac:dyDescent="0.25">
      <c r="B55" s="57">
        <v>2023</v>
      </c>
      <c r="C55" s="67">
        <f t="shared" si="0"/>
        <v>2705443.1840940374</v>
      </c>
      <c r="D55" s="67">
        <f t="shared" si="1"/>
        <v>4506.9871138816798</v>
      </c>
      <c r="E55" s="67">
        <f t="shared" si="2"/>
        <v>5090.8213471926956</v>
      </c>
      <c r="H55" s="67">
        <v>4506.9871138816798</v>
      </c>
      <c r="I55" s="67">
        <v>5090.8213471926956</v>
      </c>
    </row>
    <row r="56" spans="2:9" x14ac:dyDescent="0.25">
      <c r="B56" s="57">
        <v>2024</v>
      </c>
      <c r="C56" s="67">
        <f t="shared" si="0"/>
        <v>2786138.1524792165</v>
      </c>
      <c r="D56" s="67">
        <f t="shared" si="1"/>
        <v>4641.4165429694249</v>
      </c>
      <c r="E56" s="67">
        <f t="shared" si="2"/>
        <v>5242.6647383537165</v>
      </c>
      <c r="H56" s="67">
        <v>4641.4165429694249</v>
      </c>
      <c r="I56" s="67">
        <v>5242.6647383537165</v>
      </c>
    </row>
    <row r="57" spans="2:9" x14ac:dyDescent="0.25">
      <c r="B57" s="57">
        <v>2025</v>
      </c>
      <c r="C57" s="67">
        <f t="shared" si="0"/>
        <v>2869240.0011718324</v>
      </c>
      <c r="D57" s="67">
        <f t="shared" si="1"/>
        <v>4779.8555844541515</v>
      </c>
      <c r="E57" s="67">
        <f t="shared" si="2"/>
        <v>5399.0371463210322</v>
      </c>
      <c r="H57" s="67">
        <v>4779.8555844541515</v>
      </c>
      <c r="I57" s="67">
        <v>5399.0371463210322</v>
      </c>
    </row>
    <row r="58" spans="2:9" x14ac:dyDescent="0.25">
      <c r="B58" s="57">
        <v>2026</v>
      </c>
      <c r="C58" s="67">
        <f t="shared" si="0"/>
        <v>2954820.5199368508</v>
      </c>
      <c r="D58" s="67">
        <f t="shared" si="1"/>
        <v>4922.4238326217464</v>
      </c>
      <c r="E58" s="67">
        <f t="shared" si="2"/>
        <v>5560.0736576010404</v>
      </c>
      <c r="H58" s="67">
        <v>4922.4238326217464</v>
      </c>
      <c r="I58" s="67">
        <v>5560.0736576010404</v>
      </c>
    </row>
    <row r="59" spans="2:9" x14ac:dyDescent="0.25">
      <c r="B59" s="57">
        <v>2027</v>
      </c>
      <c r="C59" s="67">
        <f t="shared" si="0"/>
        <v>3042953.6398049826</v>
      </c>
      <c r="D59" s="67">
        <f t="shared" si="1"/>
        <v>5069.2444488842439</v>
      </c>
      <c r="E59" s="67">
        <f t="shared" si="2"/>
        <v>5725.9133879111123</v>
      </c>
      <c r="H59" s="67">
        <v>5069.2444488842439</v>
      </c>
      <c r="I59" s="67">
        <v>5725.9133879111123</v>
      </c>
    </row>
    <row r="60" spans="2:9" x14ac:dyDescent="0.25">
      <c r="B60" s="57">
        <v>2028</v>
      </c>
      <c r="C60" s="67">
        <f t="shared" si="0"/>
        <v>3133715.4969399925</v>
      </c>
      <c r="D60" s="67">
        <f t="shared" si="1"/>
        <v>5220.4442681761211</v>
      </c>
      <c r="E60" s="67">
        <f t="shared" si="2"/>
        <v>5896.6996023584461</v>
      </c>
      <c r="H60" s="67">
        <v>5220.4442681761211</v>
      </c>
      <c r="I60" s="67">
        <v>5896.6996023584461</v>
      </c>
    </row>
    <row r="61" spans="2:9" x14ac:dyDescent="0.25">
      <c r="B61" s="57">
        <v>2029</v>
      </c>
      <c r="C61" s="67">
        <f t="shared" si="0"/>
        <v>3227184.4984109649</v>
      </c>
      <c r="D61" s="67">
        <f t="shared" si="1"/>
        <v>5376.1539085240574</v>
      </c>
      <c r="E61" s="67">
        <f t="shared" si="2"/>
        <v>6072.5798392034685</v>
      </c>
      <c r="H61" s="67">
        <v>5376.1539085240574</v>
      </c>
      <c r="I61" s="67">
        <v>6072.5798392034685</v>
      </c>
    </row>
    <row r="62" spans="2:9" x14ac:dyDescent="0.25">
      <c r="B62" s="57">
        <v>2030</v>
      </c>
      <c r="C62" s="67">
        <f t="shared" si="0"/>
        <v>3323441.3899263628</v>
      </c>
      <c r="D62" s="67">
        <f t="shared" si="1"/>
        <v>5536.5078838848376</v>
      </c>
      <c r="E62" s="67">
        <f t="shared" si="2"/>
        <v>6253.7060373147378</v>
      </c>
      <c r="H62" s="67">
        <v>5536.5078838848376</v>
      </c>
      <c r="I62" s="67">
        <v>6253.7060373147378</v>
      </c>
    </row>
    <row r="63" spans="2:9" x14ac:dyDescent="0.25">
      <c r="B63" s="57">
        <v>2031</v>
      </c>
      <c r="C63" s="67">
        <f t="shared" si="0"/>
        <v>3422569.3255883739</v>
      </c>
      <c r="D63" s="67">
        <f t="shared" si="1"/>
        <v>5701.644720348836</v>
      </c>
      <c r="E63" s="67">
        <f t="shared" si="2"/>
        <v>6440.2346674254077</v>
      </c>
      <c r="H63" s="67">
        <v>5701.644720348836</v>
      </c>
      <c r="I63" s="67">
        <v>6440.2346674254077</v>
      </c>
    </row>
    <row r="64" spans="2:9" x14ac:dyDescent="0.25">
      <c r="B64" s="57">
        <v>2032</v>
      </c>
      <c r="C64" s="67">
        <f t="shared" si="0"/>
        <v>3524653.9397278219</v>
      </c>
      <c r="D64" s="67">
        <f t="shared" si="1"/>
        <v>5871.7070758095169</v>
      </c>
      <c r="E64" s="67">
        <f t="shared" si="2"/>
        <v>6632.3268673046896</v>
      </c>
      <c r="H64" s="67">
        <v>5871.7070758095169</v>
      </c>
      <c r="I64" s="67">
        <v>6632.3268673046896</v>
      </c>
    </row>
    <row r="65" spans="2:5" ht="24" customHeight="1" x14ac:dyDescent="0.25">
      <c r="B65" s="172" t="s">
        <v>167</v>
      </c>
      <c r="C65" s="172"/>
      <c r="D65" s="172"/>
      <c r="E65" s="172"/>
    </row>
    <row r="66" spans="2:5" x14ac:dyDescent="0.25">
      <c r="B66" s="172" t="s">
        <v>172</v>
      </c>
      <c r="C66" s="172"/>
      <c r="D66" s="172"/>
      <c r="E66" s="172"/>
    </row>
    <row r="68" spans="2:5" ht="24" customHeight="1" x14ac:dyDescent="0.25">
      <c r="B68" s="174" t="s">
        <v>173</v>
      </c>
      <c r="C68" s="174"/>
      <c r="D68" s="174"/>
      <c r="E68" s="174"/>
    </row>
  </sheetData>
  <mergeCells count="4">
    <mergeCell ref="B65:E65"/>
    <mergeCell ref="D36:E36"/>
    <mergeCell ref="B68:E68"/>
    <mergeCell ref="B66:E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2646-17E5-45E7-A6D2-CC1752BA1EEA}">
  <dimension ref="A28:U45"/>
  <sheetViews>
    <sheetView topLeftCell="A37" workbookViewId="0">
      <selection activeCell="B41" sqref="B41"/>
    </sheetView>
  </sheetViews>
  <sheetFormatPr baseColWidth="10" defaultColWidth="9.140625" defaultRowHeight="15" x14ac:dyDescent="0.25"/>
  <cols>
    <col min="1" max="1" width="37.28515625" customWidth="1"/>
    <col min="2" max="3" width="13.5703125" customWidth="1"/>
    <col min="4" max="21" width="12.42578125" bestFit="1" customWidth="1"/>
  </cols>
  <sheetData>
    <row r="28" spans="1:21" x14ac:dyDescent="0.25">
      <c r="A28" s="53" t="s">
        <v>223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1" x14ac:dyDescent="0.25">
      <c r="A30" s="88" t="s">
        <v>192</v>
      </c>
      <c r="B30" s="88">
        <v>2013</v>
      </c>
      <c r="C30" s="88" t="s">
        <v>105</v>
      </c>
      <c r="D30" s="88" t="s">
        <v>106</v>
      </c>
      <c r="E30" s="88" t="s">
        <v>107</v>
      </c>
      <c r="F30" s="88" t="s">
        <v>108</v>
      </c>
      <c r="G30" s="88" t="s">
        <v>117</v>
      </c>
      <c r="H30" s="88" t="s">
        <v>118</v>
      </c>
      <c r="I30" s="88" t="s">
        <v>119</v>
      </c>
      <c r="J30" s="88" t="s">
        <v>120</v>
      </c>
      <c r="K30" s="88" t="s">
        <v>121</v>
      </c>
      <c r="L30" s="88" t="s">
        <v>122</v>
      </c>
      <c r="M30" s="88" t="s">
        <v>123</v>
      </c>
      <c r="N30" s="88" t="s">
        <v>124</v>
      </c>
      <c r="O30" s="88" t="s">
        <v>125</v>
      </c>
      <c r="P30" s="88" t="s">
        <v>126</v>
      </c>
      <c r="Q30" s="88" t="s">
        <v>127</v>
      </c>
      <c r="R30" s="88" t="s">
        <v>128</v>
      </c>
      <c r="S30" s="88" t="s">
        <v>129</v>
      </c>
      <c r="T30" s="88" t="s">
        <v>130</v>
      </c>
      <c r="U30" s="88" t="s">
        <v>131</v>
      </c>
    </row>
    <row r="31" spans="1:21" ht="26.25" x14ac:dyDescent="0.25">
      <c r="A31" s="95" t="s">
        <v>193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</row>
    <row r="32" spans="1:21" x14ac:dyDescent="0.25">
      <c r="A32" s="53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 x14ac:dyDescent="0.25">
      <c r="A33" s="53" t="s">
        <v>194</v>
      </c>
      <c r="B33" s="89">
        <v>1830.1041703016547</v>
      </c>
      <c r="C33" s="89">
        <v>1814.4799327099774</v>
      </c>
      <c r="D33" s="89">
        <v>1435.0260239346042</v>
      </c>
      <c r="E33" s="89">
        <v>1993.2791637428973</v>
      </c>
      <c r="F33" s="89">
        <v>2147.0392392463536</v>
      </c>
      <c r="G33" s="89">
        <v>2862.2280379094514</v>
      </c>
      <c r="H33" s="89">
        <v>3064.1984596120678</v>
      </c>
      <c r="I33" s="89">
        <v>3158.5142639960468</v>
      </c>
      <c r="J33" s="89">
        <v>3233.210671955097</v>
      </c>
      <c r="K33" s="89">
        <v>3308.4287244612424</v>
      </c>
      <c r="L33" s="89">
        <v>3376.6782619449091</v>
      </c>
      <c r="M33" s="89">
        <v>3450.5922030833153</v>
      </c>
      <c r="N33" s="89">
        <v>3526.0710778630087</v>
      </c>
      <c r="O33" s="89">
        <v>3608.2576453916317</v>
      </c>
      <c r="P33" s="89">
        <v>3685.0406315390651</v>
      </c>
      <c r="Q33" s="89">
        <v>3761.8236176864975</v>
      </c>
      <c r="R33" s="89">
        <v>3845.0534743093126</v>
      </c>
      <c r="S33" s="89">
        <v>3922.3581050038401</v>
      </c>
      <c r="T33" s="89">
        <v>4006.6312507208463</v>
      </c>
      <c r="U33" s="89">
        <v>4085.2399927831134</v>
      </c>
    </row>
    <row r="35" spans="1:21" x14ac:dyDescent="0.25">
      <c r="A35" t="s">
        <v>197</v>
      </c>
    </row>
    <row r="36" spans="1:21" x14ac:dyDescent="0.25">
      <c r="A36" t="s">
        <v>91</v>
      </c>
      <c r="B36" s="53" t="s">
        <v>229</v>
      </c>
    </row>
    <row r="37" spans="1:21" x14ac:dyDescent="0.25">
      <c r="A37" t="s">
        <v>89</v>
      </c>
      <c r="B37" t="s">
        <v>196</v>
      </c>
    </row>
    <row r="38" spans="1:21" x14ac:dyDescent="0.25">
      <c r="A38" t="s">
        <v>195</v>
      </c>
      <c r="B38" t="s">
        <v>224</v>
      </c>
    </row>
    <row r="39" spans="1:21" x14ac:dyDescent="0.25">
      <c r="A39" t="s">
        <v>94</v>
      </c>
      <c r="B39" t="s">
        <v>199</v>
      </c>
    </row>
    <row r="41" spans="1:21" x14ac:dyDescent="0.25">
      <c r="A41" t="s">
        <v>225</v>
      </c>
    </row>
    <row r="42" spans="1:21" x14ac:dyDescent="0.25">
      <c r="A42" t="s">
        <v>91</v>
      </c>
      <c r="B42" t="s">
        <v>228</v>
      </c>
    </row>
    <row r="43" spans="1:21" x14ac:dyDescent="0.25">
      <c r="A43" t="s">
        <v>89</v>
      </c>
      <c r="B43" t="s">
        <v>227</v>
      </c>
    </row>
    <row r="44" spans="1:21" x14ac:dyDescent="0.25">
      <c r="A44" t="s">
        <v>195</v>
      </c>
      <c r="B44" t="s">
        <v>226</v>
      </c>
    </row>
    <row r="45" spans="1:21" x14ac:dyDescent="0.25">
      <c r="A45" t="s">
        <v>94</v>
      </c>
      <c r="B45" t="s">
        <v>199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7ACB-9ADD-4B5B-9C4F-EA8A98BB0264}">
  <dimension ref="A28:U40"/>
  <sheetViews>
    <sheetView topLeftCell="A22" workbookViewId="0">
      <selection activeCell="C39" sqref="C39"/>
    </sheetView>
  </sheetViews>
  <sheetFormatPr baseColWidth="10" defaultColWidth="9.140625" defaultRowHeight="15" x14ac:dyDescent="0.25"/>
  <cols>
    <col min="1" max="1" width="44" customWidth="1"/>
    <col min="2" max="21" width="9.28515625" bestFit="1" customWidth="1"/>
  </cols>
  <sheetData>
    <row r="28" spans="1:21" ht="18" x14ac:dyDescent="0.35">
      <c r="A28" t="s">
        <v>204</v>
      </c>
    </row>
    <row r="31" spans="1:21" ht="18" x14ac:dyDescent="0.35">
      <c r="A31" s="94" t="s">
        <v>202</v>
      </c>
    </row>
    <row r="32" spans="1:21" x14ac:dyDescent="0.25">
      <c r="A32" t="s">
        <v>192</v>
      </c>
      <c r="B32" s="93">
        <v>2013</v>
      </c>
      <c r="C32" s="93" t="s">
        <v>105</v>
      </c>
      <c r="D32" s="93" t="s">
        <v>106</v>
      </c>
      <c r="E32" s="93" t="s">
        <v>107</v>
      </c>
      <c r="F32" s="93" t="s">
        <v>108</v>
      </c>
      <c r="G32" s="93" t="s">
        <v>117</v>
      </c>
      <c r="H32" s="93" t="s">
        <v>118</v>
      </c>
      <c r="I32" s="93" t="s">
        <v>119</v>
      </c>
      <c r="J32" s="93" t="s">
        <v>120</v>
      </c>
      <c r="K32" s="93" t="s">
        <v>121</v>
      </c>
      <c r="L32" s="93" t="s">
        <v>122</v>
      </c>
      <c r="M32" s="93" t="s">
        <v>123</v>
      </c>
      <c r="N32" s="93" t="s">
        <v>124</v>
      </c>
      <c r="O32" s="93" t="s">
        <v>125</v>
      </c>
      <c r="P32" s="93" t="s">
        <v>126</v>
      </c>
      <c r="Q32" s="93" t="s">
        <v>127</v>
      </c>
      <c r="R32" s="93" t="s">
        <v>128</v>
      </c>
      <c r="S32" s="93" t="s">
        <v>129</v>
      </c>
      <c r="T32" s="93" t="s">
        <v>130</v>
      </c>
      <c r="U32" s="93" t="s">
        <v>131</v>
      </c>
    </row>
    <row r="33" spans="1:21" ht="30" x14ac:dyDescent="0.25">
      <c r="A33" s="91" t="s">
        <v>198</v>
      </c>
      <c r="B33" s="92">
        <v>1468.5754723803295</v>
      </c>
      <c r="C33" s="92">
        <v>1510.8151927064257</v>
      </c>
      <c r="D33" s="92">
        <v>1429.2472290641933</v>
      </c>
      <c r="E33" s="92">
        <v>1618.9379021432312</v>
      </c>
      <c r="F33" s="92">
        <v>1591.3512563351346</v>
      </c>
      <c r="G33" s="92">
        <v>1717.2559824965979</v>
      </c>
      <c r="H33" s="92">
        <v>1805.8504003008115</v>
      </c>
      <c r="I33" s="92">
        <v>1900.7825754664586</v>
      </c>
      <c r="J33" s="92">
        <v>2003.1140087844019</v>
      </c>
      <c r="K33" s="92">
        <v>2116.7566442705634</v>
      </c>
      <c r="L33" s="92">
        <v>2247.7439564087877</v>
      </c>
      <c r="M33" s="92">
        <v>2385.4115105649084</v>
      </c>
      <c r="N33" s="92">
        <v>2536.2645623230283</v>
      </c>
      <c r="O33" s="92">
        <v>2702.0884425631939</v>
      </c>
      <c r="P33" s="92">
        <v>2884.8508681260214</v>
      </c>
      <c r="Q33" s="92">
        <v>3086.0826380294961</v>
      </c>
      <c r="R33" s="92">
        <v>3306.298398066871</v>
      </c>
      <c r="S33" s="92">
        <v>3548.6467602905827</v>
      </c>
      <c r="T33" s="92">
        <v>3815.5197827540123</v>
      </c>
      <c r="U33" s="92">
        <v>4109.4844731621324</v>
      </c>
    </row>
    <row r="36" spans="1:21" x14ac:dyDescent="0.25">
      <c r="B36" t="s">
        <v>197</v>
      </c>
    </row>
    <row r="37" spans="1:21" x14ac:dyDescent="0.25">
      <c r="B37" t="s">
        <v>91</v>
      </c>
      <c r="C37" s="53" t="s">
        <v>201</v>
      </c>
    </row>
    <row r="38" spans="1:21" x14ac:dyDescent="0.25">
      <c r="B38" t="s">
        <v>89</v>
      </c>
      <c r="C38" t="s">
        <v>203</v>
      </c>
    </row>
    <row r="39" spans="1:21" x14ac:dyDescent="0.25">
      <c r="B39" t="s">
        <v>195</v>
      </c>
      <c r="C39" t="s">
        <v>200</v>
      </c>
    </row>
    <row r="40" spans="1:21" x14ac:dyDescent="0.25">
      <c r="B40" t="s">
        <v>94</v>
      </c>
      <c r="C40" t="s">
        <v>230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518A-CF66-4C8E-AAFC-FE91B3D509DB}">
  <dimension ref="A14:U41"/>
  <sheetViews>
    <sheetView topLeftCell="A22" workbookViewId="0">
      <selection activeCell="M48" sqref="M48"/>
    </sheetView>
  </sheetViews>
  <sheetFormatPr baseColWidth="10" defaultColWidth="9.140625" defaultRowHeight="15" x14ac:dyDescent="0.25"/>
  <sheetData>
    <row r="14" spans="11:11" x14ac:dyDescent="0.25">
      <c r="K14" t="e">
        <f>INDEX(LINEST(C11:N11,C10:N10),1)</f>
        <v>#VALUE!</v>
      </c>
    </row>
    <row r="34" spans="1:21" x14ac:dyDescent="0.25">
      <c r="A34" s="88" t="s">
        <v>104</v>
      </c>
      <c r="B34" s="88">
        <v>2013</v>
      </c>
      <c r="C34" s="88" t="s">
        <v>105</v>
      </c>
      <c r="D34" s="88" t="s">
        <v>106</v>
      </c>
      <c r="E34" s="88" t="s">
        <v>107</v>
      </c>
      <c r="F34" s="88" t="s">
        <v>108</v>
      </c>
      <c r="G34" s="88" t="s">
        <v>117</v>
      </c>
      <c r="H34" s="88" t="s">
        <v>118</v>
      </c>
      <c r="I34" s="88" t="s">
        <v>119</v>
      </c>
      <c r="J34" s="88" t="s">
        <v>120</v>
      </c>
      <c r="K34" s="88" t="s">
        <v>121</v>
      </c>
      <c r="L34" s="88" t="s">
        <v>122</v>
      </c>
      <c r="M34" s="88" t="s">
        <v>123</v>
      </c>
      <c r="N34" s="88" t="s">
        <v>124</v>
      </c>
      <c r="O34" s="88" t="s">
        <v>125</v>
      </c>
      <c r="P34" s="88" t="s">
        <v>126</v>
      </c>
      <c r="Q34" s="88" t="s">
        <v>127</v>
      </c>
      <c r="R34" s="88" t="s">
        <v>128</v>
      </c>
      <c r="S34" s="88" t="s">
        <v>129</v>
      </c>
      <c r="T34" s="88" t="s">
        <v>130</v>
      </c>
      <c r="U34" s="88" t="s">
        <v>131</v>
      </c>
    </row>
    <row r="35" spans="1:21" x14ac:dyDescent="0.25">
      <c r="A35" t="s">
        <v>233</v>
      </c>
      <c r="B35">
        <v>1567.6103073821278</v>
      </c>
      <c r="C35">
        <v>1393.8938718271511</v>
      </c>
      <c r="D35">
        <v>1518.8761076499006</v>
      </c>
      <c r="E35">
        <v>1506.3823539588132</v>
      </c>
      <c r="F35">
        <v>1476.0839361568537</v>
      </c>
      <c r="G35" s="78">
        <v>1311.3508383644685</v>
      </c>
      <c r="H35">
        <v>1539.0415136546208</v>
      </c>
      <c r="I35">
        <v>1437.8084925126345</v>
      </c>
      <c r="J35">
        <v>1441.4411710655506</v>
      </c>
      <c r="K35">
        <v>1413.505699877353</v>
      </c>
      <c r="L35">
        <v>1404.9646849090809</v>
      </c>
      <c r="M35">
        <v>1364.1086136192673</v>
      </c>
      <c r="N35">
        <v>1329.0096380191194</v>
      </c>
      <c r="O35">
        <v>1317.4381456129145</v>
      </c>
      <c r="P35">
        <v>1368.9047210583062</v>
      </c>
      <c r="Q35">
        <v>1352.0916855641071</v>
      </c>
      <c r="R35">
        <v>1323.5077985535409</v>
      </c>
      <c r="S35">
        <v>1332.1103578138768</v>
      </c>
      <c r="T35">
        <v>1348.5184988489677</v>
      </c>
      <c r="U35">
        <v>1336.9506949692372</v>
      </c>
    </row>
    <row r="37" spans="1:21" x14ac:dyDescent="0.25">
      <c r="G37" s="87" t="s">
        <v>191</v>
      </c>
      <c r="H37" s="87"/>
      <c r="I37" s="87"/>
      <c r="J37" s="87"/>
      <c r="K37" s="87"/>
    </row>
    <row r="38" spans="1:21" x14ac:dyDescent="0.25">
      <c r="G38" s="87" t="s">
        <v>91</v>
      </c>
      <c r="H38" s="87" t="s">
        <v>234</v>
      </c>
      <c r="I38" s="87"/>
      <c r="J38" s="87"/>
      <c r="K38" s="87"/>
    </row>
    <row r="39" spans="1:21" x14ac:dyDescent="0.25">
      <c r="G39" s="87" t="s">
        <v>89</v>
      </c>
      <c r="H39" s="87" t="s">
        <v>190</v>
      </c>
      <c r="I39" s="87"/>
      <c r="J39" s="87"/>
      <c r="K39" s="87"/>
    </row>
    <row r="40" spans="1:21" x14ac:dyDescent="0.25">
      <c r="G40" s="87" t="s">
        <v>92</v>
      </c>
      <c r="H40" s="87" t="s">
        <v>232</v>
      </c>
      <c r="I40" s="87"/>
      <c r="J40" s="87"/>
      <c r="K40" s="87"/>
    </row>
    <row r="41" spans="1:21" x14ac:dyDescent="0.25">
      <c r="G41" s="87" t="s">
        <v>94</v>
      </c>
      <c r="H41" s="87" t="s">
        <v>231</v>
      </c>
      <c r="I41" s="87"/>
      <c r="J41" s="87"/>
      <c r="K41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InvEstatalGEI_Chihuahua13-17</vt:lpstr>
      <vt:lpstr>Tabla Resumen Prioritarias</vt:lpstr>
      <vt:lpstr>Bases de proyeccion 1A1a</vt:lpstr>
      <vt:lpstr>Bases de proyeccion 1A3b</vt:lpstr>
      <vt:lpstr>Bases de proyeccion 3A</vt:lpstr>
      <vt:lpstr>Bases de proyeccion 1A2</vt:lpstr>
      <vt:lpstr>Bases de proyeccion 3C4</vt:lpstr>
      <vt:lpstr>Bases de proyeccion 1A4a y 1A4b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2018-12-29T21:30:54Z</dcterms:created>
  <dcterms:modified xsi:type="dcterms:W3CDTF">2021-01-02T13:48:11Z</dcterms:modified>
</cp:coreProperties>
</file>