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Rev 200623\01 Potencial de mitigacion\Autotransporte\"/>
    </mc:Choice>
  </mc:AlternateContent>
  <xr:revisionPtr revIDLastSave="0" documentId="13_ncr:1_{949BC474-06E9-4AEB-BC04-0FD461C5B178}" xr6:coauthVersionLast="45" xr6:coauthVersionMax="45" xr10:uidLastSave="{00000000-0000-0000-0000-000000000000}"/>
  <bookViews>
    <workbookView xWindow="20370" yWindow="-120" windowWidth="29040" windowHeight="16440" tabRatio="689" firstSheet="3" activeTab="5" xr2:uid="{C1ADEA6C-3396-4681-9E7E-82E3B6DDEE2A}"/>
  </bookViews>
  <sheets>
    <sheet name="Escenario Base" sheetId="2" r:id="rId1"/>
    <sheet name="Mitigacion NOM163" sheetId="3" r:id="rId2"/>
    <sheet name="Mitigacion NOM163 VE@6%" sheetId="6" r:id="rId3"/>
    <sheet name="Mitigacion NOM163 VE@20%" sheetId="5" r:id="rId4"/>
    <sheet name="Mitigacion VE@20%" sheetId="7" r:id="rId5"/>
    <sheet name="Mitigacion VE@20% (al 2050)" sheetId="8" r:id="rId6"/>
    <sheet name="Mitigacion NOM VE@20% (al 2050)" sheetId="9" r:id="rId7"/>
    <sheet name="Mitigacion VE@60% (al 2050)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4" i="10" l="1"/>
  <c r="K136" i="10"/>
  <c r="K137" i="10"/>
  <c r="K138" i="10"/>
  <c r="K139" i="10"/>
  <c r="K140" i="10"/>
  <c r="K141" i="10"/>
  <c r="K142" i="10"/>
  <c r="K143" i="10"/>
  <c r="K144" i="10"/>
  <c r="K145" i="10"/>
  <c r="K146" i="10"/>
  <c r="K147" i="10"/>
  <c r="K148" i="10"/>
  <c r="K149" i="10"/>
  <c r="K150" i="10"/>
  <c r="K151" i="10"/>
  <c r="K152" i="10"/>
  <c r="K153" i="10"/>
  <c r="K154" i="10"/>
  <c r="K155" i="10"/>
  <c r="K156" i="10"/>
  <c r="K157" i="10"/>
  <c r="K158" i="10"/>
  <c r="K159" i="10"/>
  <c r="K160" i="10"/>
  <c r="K161" i="10"/>
  <c r="K162" i="10"/>
  <c r="K163" i="10"/>
  <c r="K164" i="10"/>
  <c r="K165" i="10"/>
  <c r="K166" i="10"/>
  <c r="K167" i="10"/>
  <c r="K168" i="10"/>
  <c r="K169" i="10"/>
  <c r="K170" i="10"/>
  <c r="K171" i="10"/>
  <c r="K135" i="10"/>
  <c r="I174" i="8"/>
  <c r="K91" i="7"/>
  <c r="K91" i="5"/>
  <c r="K91" i="3"/>
  <c r="K91" i="6"/>
  <c r="C97" i="3"/>
  <c r="J56" i="8" l="1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55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55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D70" i="8"/>
  <c r="O67" i="10" l="1"/>
  <c r="D67" i="10"/>
  <c r="J18" i="10"/>
  <c r="J61" i="10" s="1"/>
  <c r="J13" i="10"/>
  <c r="J56" i="10" s="1"/>
  <c r="J14" i="10"/>
  <c r="J57" i="10" s="1"/>
  <c r="J15" i="10"/>
  <c r="J58" i="10" s="1"/>
  <c r="J16" i="10"/>
  <c r="J59" i="10" s="1"/>
  <c r="J17" i="10"/>
  <c r="J60" i="10" s="1"/>
  <c r="J19" i="10"/>
  <c r="J62" i="10" s="1"/>
  <c r="J20" i="10"/>
  <c r="J63" i="10" s="1"/>
  <c r="J21" i="10"/>
  <c r="J64" i="10" s="1"/>
  <c r="J22" i="10"/>
  <c r="J65" i="10" s="1"/>
  <c r="J23" i="10"/>
  <c r="J66" i="10" s="1"/>
  <c r="J24" i="10"/>
  <c r="J67" i="10" s="1"/>
  <c r="J25" i="10"/>
  <c r="J68" i="10" s="1"/>
  <c r="J26" i="10"/>
  <c r="J69" i="10" s="1"/>
  <c r="J27" i="10"/>
  <c r="J70" i="10" s="1"/>
  <c r="J28" i="10"/>
  <c r="J71" i="10" s="1"/>
  <c r="J29" i="10"/>
  <c r="J72" i="10" s="1"/>
  <c r="J30" i="10"/>
  <c r="J73" i="10" s="1"/>
  <c r="J31" i="10"/>
  <c r="J74" i="10" s="1"/>
  <c r="J32" i="10"/>
  <c r="J75" i="10" s="1"/>
  <c r="J33" i="10"/>
  <c r="J76" i="10" s="1"/>
  <c r="J34" i="10"/>
  <c r="J77" i="10" s="1"/>
  <c r="J35" i="10"/>
  <c r="J78" i="10" s="1"/>
  <c r="J36" i="10"/>
  <c r="J79" i="10" s="1"/>
  <c r="J37" i="10"/>
  <c r="J80" i="10" s="1"/>
  <c r="J38" i="10"/>
  <c r="J81" i="10" s="1"/>
  <c r="J39" i="10"/>
  <c r="J82" i="10" s="1"/>
  <c r="J40" i="10"/>
  <c r="J83" i="10" s="1"/>
  <c r="J41" i="10"/>
  <c r="J84" i="10" s="1"/>
  <c r="J42" i="10"/>
  <c r="J85" i="10" s="1"/>
  <c r="J43" i="10"/>
  <c r="J86" i="10" s="1"/>
  <c r="J12" i="10"/>
  <c r="J55" i="10" s="1"/>
  <c r="P205" i="10"/>
  <c r="P204" i="10"/>
  <c r="N203" i="10"/>
  <c r="N202" i="10"/>
  <c r="N202" i="10" a="1"/>
  <c r="P206" i="10" s="1"/>
  <c r="N171" i="10"/>
  <c r="O170" i="10"/>
  <c r="N168" i="10" a="1"/>
  <c r="O171" i="10" s="1"/>
  <c r="G138" i="10"/>
  <c r="G137" i="10"/>
  <c r="E137" i="10"/>
  <c r="G136" i="10"/>
  <c r="G135" i="10"/>
  <c r="G134" i="10"/>
  <c r="K110" i="10"/>
  <c r="K111" i="10" s="1"/>
  <c r="K112" i="10" s="1"/>
  <c r="K113" i="10" s="1"/>
  <c r="K114" i="10" s="1"/>
  <c r="K115" i="10" s="1"/>
  <c r="K116" i="10" s="1"/>
  <c r="K117" i="10" s="1"/>
  <c r="K118" i="10" s="1"/>
  <c r="K119" i="10" s="1"/>
  <c r="K120" i="10" s="1"/>
  <c r="K121" i="10" s="1"/>
  <c r="K122" i="10" s="1"/>
  <c r="K123" i="10" s="1"/>
  <c r="K124" i="10" s="1"/>
  <c r="K125" i="10" s="1"/>
  <c r="K126" i="10" s="1"/>
  <c r="K127" i="10" s="1"/>
  <c r="K128" i="10" s="1"/>
  <c r="K129" i="10" s="1"/>
  <c r="J97" i="10"/>
  <c r="I96" i="10"/>
  <c r="O58" i="10"/>
  <c r="O59" i="10" s="1"/>
  <c r="P56" i="10"/>
  <c r="Q56" i="10" s="1"/>
  <c r="P55" i="10"/>
  <c r="Q55" i="10" s="1"/>
  <c r="O54" i="10"/>
  <c r="O55" i="10" s="1"/>
  <c r="O56" i="10" s="1"/>
  <c r="O57" i="10" s="1"/>
  <c r="P57" i="10" s="1"/>
  <c r="Q57" i="10" s="1"/>
  <c r="R57" i="10" s="1"/>
  <c r="D57" i="10" s="1"/>
  <c r="L54" i="10"/>
  <c r="L55" i="10" s="1"/>
  <c r="Q53" i="10"/>
  <c r="R53" i="10" s="1"/>
  <c r="F53" i="10"/>
  <c r="E138" i="10" s="1"/>
  <c r="Q52" i="10"/>
  <c r="F52" i="10"/>
  <c r="E95" i="10" s="1"/>
  <c r="Q51" i="10"/>
  <c r="R51" i="10" s="1"/>
  <c r="F51" i="10"/>
  <c r="R50" i="10"/>
  <c r="Q50" i="10"/>
  <c r="F50" i="10"/>
  <c r="E135" i="10" s="1"/>
  <c r="Q49" i="10"/>
  <c r="F49" i="10"/>
  <c r="D10" i="10"/>
  <c r="D9" i="10"/>
  <c r="D8" i="10"/>
  <c r="D7" i="10"/>
  <c r="D6" i="10"/>
  <c r="L54" i="9"/>
  <c r="L55" i="9" s="1"/>
  <c r="L54" i="8"/>
  <c r="E55" i="9"/>
  <c r="E56" i="9" s="1"/>
  <c r="E57" i="9" s="1"/>
  <c r="E58" i="9" s="1"/>
  <c r="E59" i="9" s="1"/>
  <c r="E60" i="9" s="1"/>
  <c r="E61" i="9" s="1"/>
  <c r="E62" i="9" s="1"/>
  <c r="E63" i="9" s="1"/>
  <c r="E64" i="9" s="1"/>
  <c r="E65" i="9" s="1"/>
  <c r="E66" i="9" s="1"/>
  <c r="E67" i="9" s="1"/>
  <c r="E68" i="9" s="1"/>
  <c r="E69" i="9" s="1"/>
  <c r="E70" i="9" s="1"/>
  <c r="E71" i="9" s="1"/>
  <c r="E72" i="9" s="1"/>
  <c r="E73" i="9" s="1"/>
  <c r="E74" i="9" s="1"/>
  <c r="E75" i="9" s="1"/>
  <c r="E76" i="9" s="1"/>
  <c r="E77" i="9" s="1"/>
  <c r="E78" i="9" s="1"/>
  <c r="E79" i="9" s="1"/>
  <c r="E80" i="9" s="1"/>
  <c r="E81" i="9" s="1"/>
  <c r="E82" i="9" s="1"/>
  <c r="E83" i="9" s="1"/>
  <c r="E84" i="9" s="1"/>
  <c r="E85" i="9" s="1"/>
  <c r="E86" i="9" s="1"/>
  <c r="D54" i="9"/>
  <c r="D11" i="9" s="1"/>
  <c r="F97" i="9" s="1"/>
  <c r="N97" i="9" s="1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8" i="9"/>
  <c r="P57" i="9"/>
  <c r="P56" i="9"/>
  <c r="P55" i="9"/>
  <c r="P54" i="9"/>
  <c r="Q54" i="9"/>
  <c r="P55" i="8"/>
  <c r="P56" i="8"/>
  <c r="P57" i="8"/>
  <c r="P58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54" i="8"/>
  <c r="Q54" i="8" s="1"/>
  <c r="Q57" i="8"/>
  <c r="D172" i="9"/>
  <c r="P206" i="9"/>
  <c r="N204" i="9"/>
  <c r="N202" i="9" a="1"/>
  <c r="O206" i="9" s="1"/>
  <c r="N168" i="9" a="1"/>
  <c r="Q172" i="9" s="1"/>
  <c r="G138" i="9"/>
  <c r="G137" i="9"/>
  <c r="G136" i="9"/>
  <c r="G135" i="9"/>
  <c r="G134" i="9"/>
  <c r="K111" i="9"/>
  <c r="K112" i="9" s="1"/>
  <c r="K113" i="9" s="1"/>
  <c r="K114" i="9" s="1"/>
  <c r="K115" i="9" s="1"/>
  <c r="K116" i="9" s="1"/>
  <c r="K117" i="9" s="1"/>
  <c r="K118" i="9" s="1"/>
  <c r="K119" i="9" s="1"/>
  <c r="K120" i="9" s="1"/>
  <c r="K121" i="9" s="1"/>
  <c r="K122" i="9" s="1"/>
  <c r="K123" i="9" s="1"/>
  <c r="K124" i="9" s="1"/>
  <c r="K125" i="9" s="1"/>
  <c r="K126" i="9" s="1"/>
  <c r="K127" i="9" s="1"/>
  <c r="K128" i="9" s="1"/>
  <c r="K129" i="9" s="1"/>
  <c r="K110" i="9"/>
  <c r="J97" i="9"/>
  <c r="I96" i="9"/>
  <c r="E92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O54" i="9"/>
  <c r="O55" i="9" s="1"/>
  <c r="E54" i="9"/>
  <c r="Q53" i="9"/>
  <c r="F53" i="9"/>
  <c r="Q52" i="9"/>
  <c r="F52" i="9"/>
  <c r="Q51" i="9"/>
  <c r="R51" i="9" s="1"/>
  <c r="F51" i="9"/>
  <c r="Q50" i="9"/>
  <c r="F50" i="9"/>
  <c r="Q49" i="9"/>
  <c r="G49" i="9"/>
  <c r="H134" i="9" s="1"/>
  <c r="I134" i="9" s="1"/>
  <c r="F49" i="9"/>
  <c r="E134" i="9" s="1"/>
  <c r="E43" i="9"/>
  <c r="D43" i="9" s="1"/>
  <c r="E42" i="9"/>
  <c r="D42" i="9" s="1"/>
  <c r="E41" i="9"/>
  <c r="D41" i="9" s="1"/>
  <c r="E40" i="9"/>
  <c r="D40" i="9" s="1"/>
  <c r="E39" i="9"/>
  <c r="D39" i="9" s="1"/>
  <c r="E38" i="9"/>
  <c r="D38" i="9" s="1"/>
  <c r="E37" i="9"/>
  <c r="D37" i="9" s="1"/>
  <c r="E36" i="9"/>
  <c r="D36" i="9" s="1"/>
  <c r="E35" i="9"/>
  <c r="D35" i="9" s="1"/>
  <c r="E34" i="9"/>
  <c r="D34" i="9" s="1"/>
  <c r="E33" i="9"/>
  <c r="D33" i="9" s="1"/>
  <c r="E32" i="9"/>
  <c r="D32" i="9" s="1"/>
  <c r="E31" i="9"/>
  <c r="D31" i="9" s="1"/>
  <c r="E30" i="9"/>
  <c r="D30" i="9" s="1"/>
  <c r="E29" i="9"/>
  <c r="D29" i="9" s="1"/>
  <c r="G29" i="9" s="1"/>
  <c r="E28" i="9"/>
  <c r="D28" i="9" s="1"/>
  <c r="G28" i="9" s="1"/>
  <c r="E27" i="9"/>
  <c r="D27" i="9" s="1"/>
  <c r="E26" i="9"/>
  <c r="D26" i="9" s="1"/>
  <c r="E25" i="9"/>
  <c r="D25" i="9" s="1"/>
  <c r="E24" i="9"/>
  <c r="D24" i="9" s="1"/>
  <c r="E23" i="9"/>
  <c r="D23" i="9" s="1"/>
  <c r="E22" i="9"/>
  <c r="D22" i="9" s="1"/>
  <c r="G22" i="9" s="1"/>
  <c r="E21" i="9"/>
  <c r="D21" i="9" s="1"/>
  <c r="E20" i="9"/>
  <c r="D20" i="9" s="1"/>
  <c r="E19" i="9"/>
  <c r="D19" i="9" s="1"/>
  <c r="E18" i="9"/>
  <c r="D18" i="9" s="1"/>
  <c r="G18" i="9" s="1"/>
  <c r="E17" i="9"/>
  <c r="D17" i="9" s="1"/>
  <c r="E16" i="9"/>
  <c r="D16" i="9" s="1"/>
  <c r="E15" i="9"/>
  <c r="D15" i="9" s="1"/>
  <c r="E14" i="9"/>
  <c r="D14" i="9" s="1"/>
  <c r="E13" i="9"/>
  <c r="D13" i="9" s="1"/>
  <c r="D12" i="9"/>
  <c r="F98" i="9" s="1"/>
  <c r="N98" i="9" s="1"/>
  <c r="D10" i="9"/>
  <c r="D9" i="9"/>
  <c r="D8" i="9"/>
  <c r="D7" i="9"/>
  <c r="D6" i="9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11" i="8"/>
  <c r="O207" i="8" a="1"/>
  <c r="O207" i="8" s="1"/>
  <c r="N202" i="8" a="1"/>
  <c r="O204" i="8" s="1"/>
  <c r="R52" i="8"/>
  <c r="R51" i="8"/>
  <c r="R50" i="8"/>
  <c r="Q50" i="8"/>
  <c r="Q51" i="8"/>
  <c r="Q52" i="8"/>
  <c r="Q53" i="8"/>
  <c r="R53" i="8" s="1"/>
  <c r="Q55" i="8"/>
  <c r="R56" i="8" s="1"/>
  <c r="D56" i="8" s="1"/>
  <c r="Q56" i="8"/>
  <c r="Q58" i="8"/>
  <c r="Q59" i="8"/>
  <c r="R59" i="8" s="1"/>
  <c r="D59" i="8" s="1"/>
  <c r="Q60" i="8"/>
  <c r="R60" i="8" s="1"/>
  <c r="D60" i="8" s="1"/>
  <c r="Q61" i="8"/>
  <c r="R61" i="8" s="1"/>
  <c r="D61" i="8" s="1"/>
  <c r="Q62" i="8"/>
  <c r="R62" i="8" s="1"/>
  <c r="D62" i="8" s="1"/>
  <c r="Q63" i="8"/>
  <c r="Q64" i="8"/>
  <c r="Q65" i="8"/>
  <c r="Q66" i="8"/>
  <c r="Q67" i="8"/>
  <c r="Q68" i="8"/>
  <c r="Q69" i="8"/>
  <c r="Q70" i="8"/>
  <c r="Q71" i="8"/>
  <c r="Q72" i="8"/>
  <c r="Q73" i="8"/>
  <c r="Q74" i="8"/>
  <c r="R74" i="8" s="1"/>
  <c r="D74" i="8" s="1"/>
  <c r="Q75" i="8"/>
  <c r="Q76" i="8"/>
  <c r="R76" i="8" s="1"/>
  <c r="D76" i="8" s="1"/>
  <c r="Q77" i="8"/>
  <c r="Q78" i="8"/>
  <c r="R78" i="8" s="1"/>
  <c r="D78" i="8" s="1"/>
  <c r="Q79" i="8"/>
  <c r="Q80" i="8"/>
  <c r="Q81" i="8"/>
  <c r="Q82" i="8"/>
  <c r="R82" i="8" s="1"/>
  <c r="D82" i="8" s="1"/>
  <c r="Q83" i="8"/>
  <c r="Q84" i="8"/>
  <c r="R84" i="8" s="1"/>
  <c r="D84" i="8" s="1"/>
  <c r="Q85" i="8"/>
  <c r="Q86" i="8"/>
  <c r="R86" i="8" s="1"/>
  <c r="D86" i="8" s="1"/>
  <c r="Q49" i="8"/>
  <c r="O54" i="8"/>
  <c r="O55" i="8" s="1"/>
  <c r="O56" i="8" s="1"/>
  <c r="O57" i="8" s="1"/>
  <c r="O58" i="8" s="1"/>
  <c r="O59" i="8" s="1"/>
  <c r="O60" i="8" s="1"/>
  <c r="O61" i="8" s="1"/>
  <c r="O62" i="8" s="1"/>
  <c r="O63" i="8" s="1"/>
  <c r="O64" i="8" s="1"/>
  <c r="O65" i="8" s="1"/>
  <c r="O66" i="8" s="1"/>
  <c r="O67" i="8" s="1"/>
  <c r="O68" i="8" s="1"/>
  <c r="O69" i="8" s="1"/>
  <c r="O70" i="8" s="1"/>
  <c r="O71" i="8" s="1"/>
  <c r="O72" i="8" s="1"/>
  <c r="O73" i="8" s="1"/>
  <c r="O74" i="8" s="1"/>
  <c r="O75" i="8" s="1"/>
  <c r="O76" i="8" s="1"/>
  <c r="O77" i="8" s="1"/>
  <c r="O78" i="8" s="1"/>
  <c r="O79" i="8" s="1"/>
  <c r="O80" i="8" s="1"/>
  <c r="O81" i="8" s="1"/>
  <c r="O82" i="8" s="1"/>
  <c r="O83" i="8" s="1"/>
  <c r="O84" i="8" s="1"/>
  <c r="O85" i="8" s="1"/>
  <c r="O86" i="8" s="1"/>
  <c r="K110" i="8"/>
  <c r="O60" i="10" l="1"/>
  <c r="P59" i="10"/>
  <c r="Q59" i="10" s="1"/>
  <c r="E14" i="10"/>
  <c r="D14" i="10" s="1"/>
  <c r="K57" i="10"/>
  <c r="E92" i="10"/>
  <c r="E134" i="10"/>
  <c r="P58" i="10"/>
  <c r="Q58" i="10" s="1"/>
  <c r="R58" i="10" s="1"/>
  <c r="D58" i="10" s="1"/>
  <c r="E136" i="10"/>
  <c r="G51" i="10"/>
  <c r="H136" i="10" s="1"/>
  <c r="I136" i="10" s="1"/>
  <c r="E94" i="10"/>
  <c r="G49" i="10"/>
  <c r="H134" i="10" s="1"/>
  <c r="I134" i="10" s="1"/>
  <c r="G52" i="10"/>
  <c r="H137" i="10" s="1"/>
  <c r="I137" i="10" s="1"/>
  <c r="R56" i="10"/>
  <c r="D56" i="10" s="1"/>
  <c r="G50" i="10"/>
  <c r="H135" i="10" s="1"/>
  <c r="I135" i="10" s="1"/>
  <c r="R52" i="10"/>
  <c r="E93" i="10"/>
  <c r="P172" i="10"/>
  <c r="R170" i="10"/>
  <c r="O169" i="10"/>
  <c r="O172" i="10"/>
  <c r="Q170" i="10"/>
  <c r="N169" i="10"/>
  <c r="N172" i="10"/>
  <c r="P170" i="10"/>
  <c r="R168" i="10"/>
  <c r="Q171" i="10"/>
  <c r="N170" i="10"/>
  <c r="P168" i="10"/>
  <c r="P171" i="10"/>
  <c r="R169" i="10"/>
  <c r="O168" i="10"/>
  <c r="R171" i="10"/>
  <c r="N168" i="10"/>
  <c r="Q172" i="10"/>
  <c r="G53" i="10"/>
  <c r="H138" i="10" s="1"/>
  <c r="I138" i="10" s="1"/>
  <c r="Q168" i="10"/>
  <c r="R172" i="10"/>
  <c r="P54" i="10"/>
  <c r="Q54" i="10" s="1"/>
  <c r="R54" i="10" s="1"/>
  <c r="D54" i="10" s="1"/>
  <c r="E96" i="10"/>
  <c r="P169" i="10"/>
  <c r="Q169" i="10"/>
  <c r="O204" i="10"/>
  <c r="O202" i="10"/>
  <c r="O207" i="10" s="1" a="1"/>
  <c r="N205" i="10"/>
  <c r="P202" i="10"/>
  <c r="O205" i="10"/>
  <c r="O203" i="10"/>
  <c r="N206" i="10"/>
  <c r="P203" i="10"/>
  <c r="O206" i="10"/>
  <c r="N204" i="10"/>
  <c r="R52" i="9"/>
  <c r="R53" i="9"/>
  <c r="R50" i="9"/>
  <c r="R68" i="8"/>
  <c r="D68" i="8" s="1"/>
  <c r="R83" i="8"/>
  <c r="D83" i="8" s="1"/>
  <c r="R58" i="8"/>
  <c r="D58" i="8" s="1"/>
  <c r="R81" i="8"/>
  <c r="D81" i="8" s="1"/>
  <c r="R80" i="8"/>
  <c r="D80" i="8" s="1"/>
  <c r="R72" i="8"/>
  <c r="D72" i="8" s="1"/>
  <c r="K72" i="8" s="1"/>
  <c r="R64" i="8"/>
  <c r="D64" i="8" s="1"/>
  <c r="R79" i="8"/>
  <c r="D79" i="8" s="1"/>
  <c r="R85" i="8"/>
  <c r="D85" i="8" s="1"/>
  <c r="R77" i="8"/>
  <c r="D77" i="8" s="1"/>
  <c r="E35" i="8"/>
  <c r="K85" i="8"/>
  <c r="K80" i="8"/>
  <c r="R67" i="8"/>
  <c r="D67" i="8" s="1"/>
  <c r="K67" i="8" s="1"/>
  <c r="R57" i="8"/>
  <c r="D57" i="8" s="1"/>
  <c r="E33" i="8"/>
  <c r="D33" i="8" s="1"/>
  <c r="F119" i="8" s="1"/>
  <c r="K76" i="8"/>
  <c r="K61" i="8"/>
  <c r="E17" i="8"/>
  <c r="R71" i="8"/>
  <c r="D71" i="8" s="1"/>
  <c r="K57" i="8"/>
  <c r="K59" i="8"/>
  <c r="E15" i="8"/>
  <c r="K60" i="8"/>
  <c r="E16" i="8"/>
  <c r="R63" i="8"/>
  <c r="D63" i="8" s="1"/>
  <c r="E18" i="8"/>
  <c r="D18" i="8" s="1"/>
  <c r="E13" i="8"/>
  <c r="R55" i="8"/>
  <c r="D55" i="8" s="1"/>
  <c r="K56" i="8"/>
  <c r="R54" i="8"/>
  <c r="D54" i="8" s="1"/>
  <c r="E24" i="8"/>
  <c r="D24" i="8" s="1"/>
  <c r="F110" i="8" s="1"/>
  <c r="I110" i="8" s="1"/>
  <c r="R73" i="8"/>
  <c r="D73" i="8" s="1"/>
  <c r="R66" i="8"/>
  <c r="D66" i="8" s="1"/>
  <c r="E25" i="8"/>
  <c r="D25" i="8" s="1"/>
  <c r="F111" i="8" s="1"/>
  <c r="R69" i="8"/>
  <c r="D69" i="8" s="1"/>
  <c r="E21" i="8"/>
  <c r="K64" i="8"/>
  <c r="R65" i="8"/>
  <c r="D65" i="8" s="1"/>
  <c r="K62" i="8"/>
  <c r="E19" i="8"/>
  <c r="K78" i="8"/>
  <c r="R70" i="8"/>
  <c r="G36" i="9"/>
  <c r="F122" i="9"/>
  <c r="I122" i="9" s="1"/>
  <c r="G11" i="9"/>
  <c r="H11" i="9" s="1"/>
  <c r="G139" i="9" s="1"/>
  <c r="F105" i="9"/>
  <c r="G19" i="9"/>
  <c r="F128" i="9"/>
  <c r="I128" i="9" s="1"/>
  <c r="G42" i="9"/>
  <c r="E135" i="9"/>
  <c r="E93" i="9"/>
  <c r="G50" i="9"/>
  <c r="H135" i="9" s="1"/>
  <c r="F101" i="9"/>
  <c r="G15" i="9"/>
  <c r="F106" i="9"/>
  <c r="G20" i="9"/>
  <c r="F117" i="9"/>
  <c r="I117" i="9" s="1"/>
  <c r="G31" i="9"/>
  <c r="F121" i="9"/>
  <c r="I121" i="9" s="1"/>
  <c r="G35" i="9"/>
  <c r="O56" i="9"/>
  <c r="Q55" i="9"/>
  <c r="R55" i="9" s="1"/>
  <c r="F110" i="9"/>
  <c r="I110" i="9" s="1"/>
  <c r="G24" i="9"/>
  <c r="F102" i="9"/>
  <c r="G16" i="9"/>
  <c r="F111" i="9"/>
  <c r="I111" i="9" s="1"/>
  <c r="G25" i="9"/>
  <c r="G32" i="9"/>
  <c r="F118" i="9"/>
  <c r="I118" i="9" s="1"/>
  <c r="F124" i="9"/>
  <c r="I124" i="9" s="1"/>
  <c r="G38" i="9"/>
  <c r="F116" i="9"/>
  <c r="I116" i="9" s="1"/>
  <c r="G30" i="9"/>
  <c r="F107" i="9"/>
  <c r="G21" i="9"/>
  <c r="F125" i="9"/>
  <c r="I125" i="9" s="1"/>
  <c r="G39" i="9"/>
  <c r="F129" i="9"/>
  <c r="I129" i="9" s="1"/>
  <c r="G43" i="9"/>
  <c r="F100" i="9"/>
  <c r="F103" i="9"/>
  <c r="G17" i="9"/>
  <c r="F126" i="9"/>
  <c r="I126" i="9" s="1"/>
  <c r="G40" i="9"/>
  <c r="F123" i="9"/>
  <c r="I123" i="9" s="1"/>
  <c r="F112" i="9"/>
  <c r="I112" i="9" s="1"/>
  <c r="G26" i="9"/>
  <c r="F119" i="9"/>
  <c r="I119" i="9" s="1"/>
  <c r="G33" i="9"/>
  <c r="E95" i="9"/>
  <c r="E137" i="9"/>
  <c r="G52" i="9"/>
  <c r="H137" i="9" s="1"/>
  <c r="F99" i="9"/>
  <c r="G13" i="9"/>
  <c r="L56" i="9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F108" i="9"/>
  <c r="F115" i="9"/>
  <c r="I115" i="9" s="1"/>
  <c r="F120" i="9"/>
  <c r="I120" i="9" s="1"/>
  <c r="G34" i="9"/>
  <c r="F127" i="9"/>
  <c r="I127" i="9" s="1"/>
  <c r="G41" i="9"/>
  <c r="G14" i="9"/>
  <c r="F104" i="9"/>
  <c r="F109" i="9"/>
  <c r="G23" i="9"/>
  <c r="F113" i="9"/>
  <c r="I113" i="9" s="1"/>
  <c r="G27" i="9"/>
  <c r="G37" i="9"/>
  <c r="I97" i="9"/>
  <c r="J98" i="9" s="1"/>
  <c r="J99" i="9" s="1"/>
  <c r="I137" i="9"/>
  <c r="R170" i="9"/>
  <c r="P169" i="9"/>
  <c r="G12" i="9"/>
  <c r="E136" i="9"/>
  <c r="E94" i="9"/>
  <c r="E138" i="9"/>
  <c r="E96" i="9"/>
  <c r="F114" i="9"/>
  <c r="I114" i="9" s="1"/>
  <c r="N171" i="9"/>
  <c r="G51" i="9"/>
  <c r="H136" i="9" s="1"/>
  <c r="I136" i="9" s="1"/>
  <c r="G53" i="9"/>
  <c r="H138" i="9" s="1"/>
  <c r="I138" i="9" s="1"/>
  <c r="R54" i="9"/>
  <c r="I98" i="9"/>
  <c r="P172" i="9"/>
  <c r="F11" i="9"/>
  <c r="D139" i="9" s="1"/>
  <c r="I135" i="9"/>
  <c r="O172" i="9"/>
  <c r="Q170" i="9"/>
  <c r="N169" i="9"/>
  <c r="N172" i="9"/>
  <c r="P170" i="9"/>
  <c r="R168" i="9"/>
  <c r="R171" i="9"/>
  <c r="O170" i="9"/>
  <c r="Q168" i="9"/>
  <c r="Q171" i="9"/>
  <c r="N170" i="9"/>
  <c r="P168" i="9"/>
  <c r="P171" i="9"/>
  <c r="R169" i="9"/>
  <c r="O168" i="9"/>
  <c r="R172" i="9"/>
  <c r="O171" i="9"/>
  <c r="Q169" i="9"/>
  <c r="N168" i="9"/>
  <c r="O169" i="9"/>
  <c r="O204" i="9"/>
  <c r="N202" i="9"/>
  <c r="P204" i="9"/>
  <c r="O202" i="9"/>
  <c r="N205" i="9"/>
  <c r="P202" i="9"/>
  <c r="O205" i="9"/>
  <c r="N203" i="9"/>
  <c r="P205" i="9"/>
  <c r="O203" i="9"/>
  <c r="N206" i="9"/>
  <c r="P203" i="9"/>
  <c r="O209" i="8"/>
  <c r="O208" i="8"/>
  <c r="P206" i="8"/>
  <c r="N204" i="8"/>
  <c r="P203" i="8"/>
  <c r="N206" i="8"/>
  <c r="P205" i="8"/>
  <c r="N203" i="8"/>
  <c r="O206" i="8"/>
  <c r="O203" i="8"/>
  <c r="O205" i="8"/>
  <c r="P202" i="8"/>
  <c r="N205" i="8"/>
  <c r="O202" i="8"/>
  <c r="P204" i="8"/>
  <c r="N202" i="8"/>
  <c r="R75" i="8"/>
  <c r="D75" i="8" s="1"/>
  <c r="E26" i="8"/>
  <c r="D26" i="8" s="1"/>
  <c r="F112" i="8" s="1"/>
  <c r="E42" i="8"/>
  <c r="D42" i="8" s="1"/>
  <c r="F128" i="8" s="1"/>
  <c r="D35" i="8"/>
  <c r="F121" i="8" s="1"/>
  <c r="K86" i="8"/>
  <c r="E36" i="8"/>
  <c r="D36" i="8" s="1"/>
  <c r="F122" i="8" s="1"/>
  <c r="E28" i="8"/>
  <c r="D28" i="8" s="1"/>
  <c r="F114" i="8" s="1"/>
  <c r="E29" i="8"/>
  <c r="D29" i="8" s="1"/>
  <c r="F115" i="8" s="1"/>
  <c r="E38" i="8"/>
  <c r="D38" i="8" s="1"/>
  <c r="F124" i="8" s="1"/>
  <c r="K81" i="8"/>
  <c r="E37" i="8"/>
  <c r="D37" i="8" s="1"/>
  <c r="F123" i="8" s="1"/>
  <c r="E31" i="8"/>
  <c r="D31" i="8" s="1"/>
  <c r="F117" i="8" s="1"/>
  <c r="E39" i="8"/>
  <c r="D39" i="8" s="1"/>
  <c r="K84" i="8"/>
  <c r="E43" i="8"/>
  <c r="D43" i="8" s="1"/>
  <c r="F129" i="8" s="1"/>
  <c r="E41" i="8"/>
  <c r="D41" i="8" s="1"/>
  <c r="F127" i="8" s="1"/>
  <c r="K68" i="8"/>
  <c r="K79" i="8"/>
  <c r="K74" i="8"/>
  <c r="K111" i="8"/>
  <c r="K112" i="8" s="1"/>
  <c r="K113" i="8" s="1"/>
  <c r="K71" i="8"/>
  <c r="K82" i="8"/>
  <c r="K83" i="8"/>
  <c r="N168" i="8" a="1"/>
  <c r="Q168" i="8" s="1"/>
  <c r="F100" i="10" l="1"/>
  <c r="G14" i="10"/>
  <c r="O209" i="10"/>
  <c r="O208" i="10"/>
  <c r="O207" i="10"/>
  <c r="D11" i="10"/>
  <c r="E54" i="10"/>
  <c r="E55" i="10" s="1"/>
  <c r="E56" i="10" s="1"/>
  <c r="E57" i="10" s="1"/>
  <c r="E58" i="10" s="1"/>
  <c r="E59" i="10" s="1"/>
  <c r="E60" i="10" s="1"/>
  <c r="R59" i="10"/>
  <c r="D59" i="10" s="1"/>
  <c r="O173" i="10" a="1"/>
  <c r="R55" i="10"/>
  <c r="D55" i="10" s="1"/>
  <c r="D12" i="10" s="1"/>
  <c r="P60" i="10"/>
  <c r="Q60" i="10" s="1"/>
  <c r="R60" i="10" s="1"/>
  <c r="D60" i="10" s="1"/>
  <c r="O61" i="10"/>
  <c r="K58" i="10"/>
  <c r="K56" i="10"/>
  <c r="L56" i="10" s="1"/>
  <c r="L57" i="10" s="1"/>
  <c r="L58" i="10" s="1"/>
  <c r="E13" i="10"/>
  <c r="D13" i="10" s="1"/>
  <c r="E15" i="10"/>
  <c r="D15" i="10" s="1"/>
  <c r="K77" i="8"/>
  <c r="E34" i="8"/>
  <c r="D34" i="8" s="1"/>
  <c r="F120" i="8" s="1"/>
  <c r="E40" i="8"/>
  <c r="D40" i="8" s="1"/>
  <c r="F126" i="8" s="1"/>
  <c r="K58" i="8"/>
  <c r="E32" i="8"/>
  <c r="D32" i="8" s="1"/>
  <c r="F118" i="8" s="1"/>
  <c r="K75" i="8"/>
  <c r="E14" i="8"/>
  <c r="D14" i="8" s="1"/>
  <c r="K73" i="8"/>
  <c r="E20" i="8"/>
  <c r="K70" i="8"/>
  <c r="K66" i="8"/>
  <c r="K63" i="8"/>
  <c r="E23" i="8"/>
  <c r="D23" i="8" s="1"/>
  <c r="E27" i="8"/>
  <c r="D27" i="8" s="1"/>
  <c r="F113" i="8" s="1"/>
  <c r="I113" i="8" s="1"/>
  <c r="L55" i="8"/>
  <c r="L56" i="8" s="1"/>
  <c r="L57" i="8" s="1"/>
  <c r="L58" i="8" s="1"/>
  <c r="L59" i="8" s="1"/>
  <c r="L60" i="8" s="1"/>
  <c r="L61" i="8" s="1"/>
  <c r="L62" i="8" s="1"/>
  <c r="E54" i="8"/>
  <c r="E55" i="8" s="1"/>
  <c r="E56" i="8" s="1"/>
  <c r="E57" i="8" s="1"/>
  <c r="E58" i="8" s="1"/>
  <c r="E59" i="8" s="1"/>
  <c r="E60" i="8" s="1"/>
  <c r="E61" i="8" s="1"/>
  <c r="E62" i="8" s="1"/>
  <c r="E63" i="8" s="1"/>
  <c r="E64" i="8" s="1"/>
  <c r="E65" i="8" s="1"/>
  <c r="E66" i="8" s="1"/>
  <c r="E67" i="8" s="1"/>
  <c r="E68" i="8" s="1"/>
  <c r="E30" i="8"/>
  <c r="D30" i="8" s="1"/>
  <c r="F116" i="8" s="1"/>
  <c r="K69" i="8"/>
  <c r="E22" i="8"/>
  <c r="D22" i="8" s="1"/>
  <c r="F108" i="8" s="1"/>
  <c r="K65" i="8"/>
  <c r="H12" i="9"/>
  <c r="F12" i="9"/>
  <c r="D140" i="9" s="1"/>
  <c r="O207" i="9" a="1"/>
  <c r="N99" i="9"/>
  <c r="I99" i="9"/>
  <c r="N104" i="9"/>
  <c r="I104" i="9"/>
  <c r="N103" i="9"/>
  <c r="I103" i="9"/>
  <c r="F55" i="9"/>
  <c r="O57" i="9"/>
  <c r="Q56" i="9"/>
  <c r="R56" i="9" s="1"/>
  <c r="O173" i="9" a="1"/>
  <c r="N100" i="9"/>
  <c r="I100" i="9"/>
  <c r="N106" i="9"/>
  <c r="I106" i="9"/>
  <c r="N108" i="9"/>
  <c r="I108" i="9"/>
  <c r="N107" i="9"/>
  <c r="I107" i="9"/>
  <c r="G140" i="9"/>
  <c r="H13" i="9"/>
  <c r="N102" i="9"/>
  <c r="I102" i="9"/>
  <c r="N101" i="9"/>
  <c r="I101" i="9"/>
  <c r="F54" i="9"/>
  <c r="J100" i="9"/>
  <c r="N109" i="9"/>
  <c r="I109" i="9"/>
  <c r="F13" i="9"/>
  <c r="D141" i="9" s="1"/>
  <c r="N105" i="9"/>
  <c r="I105" i="9"/>
  <c r="F125" i="8"/>
  <c r="G24" i="8"/>
  <c r="G25" i="8"/>
  <c r="I111" i="8"/>
  <c r="I112" i="8"/>
  <c r="K114" i="8"/>
  <c r="I114" i="8" s="1"/>
  <c r="G26" i="8"/>
  <c r="G28" i="8"/>
  <c r="K115" i="8"/>
  <c r="I115" i="8" s="1"/>
  <c r="Q171" i="8"/>
  <c r="N170" i="8"/>
  <c r="P168" i="8"/>
  <c r="P171" i="8"/>
  <c r="R169" i="8"/>
  <c r="O168" i="8"/>
  <c r="R172" i="8"/>
  <c r="O171" i="8"/>
  <c r="Q169" i="8"/>
  <c r="N168" i="8"/>
  <c r="Q172" i="8"/>
  <c r="N171" i="8"/>
  <c r="P169" i="8"/>
  <c r="P172" i="8"/>
  <c r="R170" i="8"/>
  <c r="O169" i="8"/>
  <c r="O172" i="8"/>
  <c r="Q170" i="8"/>
  <c r="N169" i="8"/>
  <c r="N172" i="8"/>
  <c r="P170" i="8"/>
  <c r="R168" i="8"/>
  <c r="R171" i="8"/>
  <c r="O170" i="8"/>
  <c r="G138" i="8"/>
  <c r="G137" i="8"/>
  <c r="G136" i="8"/>
  <c r="G135" i="8"/>
  <c r="G134" i="8"/>
  <c r="I96" i="8"/>
  <c r="J97" i="8" s="1"/>
  <c r="F53" i="8"/>
  <c r="G53" i="8" s="1"/>
  <c r="H138" i="8" s="1"/>
  <c r="F52" i="8"/>
  <c r="E95" i="8" s="1"/>
  <c r="F51" i="8"/>
  <c r="G51" i="8" s="1"/>
  <c r="H136" i="8" s="1"/>
  <c r="F50" i="8"/>
  <c r="E93" i="8" s="1"/>
  <c r="F49" i="8"/>
  <c r="G49" i="8" s="1"/>
  <c r="H134" i="8" s="1"/>
  <c r="D21" i="8"/>
  <c r="D20" i="8"/>
  <c r="F106" i="8" s="1"/>
  <c r="D19" i="8"/>
  <c r="G18" i="8"/>
  <c r="F104" i="8"/>
  <c r="D17" i="8"/>
  <c r="D16" i="8"/>
  <c r="F102" i="8" s="1"/>
  <c r="D15" i="8"/>
  <c r="D13" i="8"/>
  <c r="D12" i="8"/>
  <c r="F98" i="8" s="1"/>
  <c r="D11" i="8"/>
  <c r="F11" i="8" s="1"/>
  <c r="D139" i="8" s="1"/>
  <c r="D10" i="8"/>
  <c r="D9" i="8"/>
  <c r="D8" i="8"/>
  <c r="D7" i="8"/>
  <c r="D6" i="8"/>
  <c r="G78" i="7"/>
  <c r="H77" i="7"/>
  <c r="I77" i="7" s="1"/>
  <c r="G77" i="7"/>
  <c r="G76" i="7"/>
  <c r="E76" i="7"/>
  <c r="G75" i="7"/>
  <c r="G74" i="7"/>
  <c r="F69" i="7"/>
  <c r="I69" i="7" s="1"/>
  <c r="F67" i="7"/>
  <c r="I67" i="7" s="1"/>
  <c r="F65" i="7"/>
  <c r="I65" i="7" s="1"/>
  <c r="F63" i="7"/>
  <c r="I63" i="7" s="1"/>
  <c r="F61" i="7"/>
  <c r="I61" i="7" s="1"/>
  <c r="F59" i="7"/>
  <c r="I59" i="7" s="1"/>
  <c r="F57" i="7"/>
  <c r="I57" i="7" s="1"/>
  <c r="I56" i="7"/>
  <c r="J57" i="7" s="1"/>
  <c r="E55" i="7"/>
  <c r="F33" i="7"/>
  <c r="E78" i="7" s="1"/>
  <c r="G32" i="7"/>
  <c r="F32" i="7"/>
  <c r="E77" i="7" s="1"/>
  <c r="F31" i="7"/>
  <c r="E54" i="7" s="1"/>
  <c r="F30" i="7"/>
  <c r="E75" i="7" s="1"/>
  <c r="F29" i="7"/>
  <c r="E52" i="7" s="1"/>
  <c r="D23" i="7"/>
  <c r="G23" i="7" s="1"/>
  <c r="D22" i="7"/>
  <c r="F68" i="7" s="1"/>
  <c r="D21" i="7"/>
  <c r="G21" i="7" s="1"/>
  <c r="D20" i="7"/>
  <c r="F66" i="7" s="1"/>
  <c r="D19" i="7"/>
  <c r="G19" i="7" s="1"/>
  <c r="D18" i="7"/>
  <c r="F64" i="7" s="1"/>
  <c r="D17" i="7"/>
  <c r="G17" i="7" s="1"/>
  <c r="D16" i="7"/>
  <c r="F62" i="7" s="1"/>
  <c r="D15" i="7"/>
  <c r="G15" i="7" s="1"/>
  <c r="D14" i="7"/>
  <c r="G14" i="7" s="1"/>
  <c r="D13" i="7"/>
  <c r="G13" i="7" s="1"/>
  <c r="D12" i="7"/>
  <c r="F58" i="7" s="1"/>
  <c r="D11" i="7"/>
  <c r="G11" i="7" s="1"/>
  <c r="H11" i="7" s="1"/>
  <c r="D10" i="7"/>
  <c r="D9" i="7"/>
  <c r="D8" i="7"/>
  <c r="D7" i="7"/>
  <c r="D6" i="7"/>
  <c r="G78" i="6"/>
  <c r="G77" i="6"/>
  <c r="G76" i="6"/>
  <c r="G75" i="6"/>
  <c r="G74" i="6"/>
  <c r="I56" i="6"/>
  <c r="J57" i="6" s="1"/>
  <c r="E55" i="6"/>
  <c r="G33" i="6"/>
  <c r="H78" i="6" s="1"/>
  <c r="I78" i="6" s="1"/>
  <c r="F33" i="6"/>
  <c r="E78" i="6" s="1"/>
  <c r="G32" i="6"/>
  <c r="H77" i="6" s="1"/>
  <c r="F32" i="6"/>
  <c r="E77" i="6" s="1"/>
  <c r="F31" i="6"/>
  <c r="E54" i="6" s="1"/>
  <c r="F30" i="6"/>
  <c r="E75" i="6" s="1"/>
  <c r="G29" i="6"/>
  <c r="H74" i="6" s="1"/>
  <c r="I74" i="6" s="1"/>
  <c r="F29" i="6"/>
  <c r="E52" i="6" s="1"/>
  <c r="D23" i="6"/>
  <c r="G23" i="6" s="1"/>
  <c r="D22" i="6"/>
  <c r="F68" i="6" s="1"/>
  <c r="D21" i="6"/>
  <c r="G21" i="6" s="1"/>
  <c r="D20" i="6"/>
  <c r="F66" i="6" s="1"/>
  <c r="D19" i="6"/>
  <c r="G19" i="6" s="1"/>
  <c r="D18" i="6"/>
  <c r="F64" i="6" s="1"/>
  <c r="D17" i="6"/>
  <c r="G17" i="6" s="1"/>
  <c r="D16" i="6"/>
  <c r="F62" i="6" s="1"/>
  <c r="D15" i="6"/>
  <c r="G15" i="6" s="1"/>
  <c r="D14" i="6"/>
  <c r="F60" i="6" s="1"/>
  <c r="D13" i="6"/>
  <c r="G13" i="6" s="1"/>
  <c r="D12" i="6"/>
  <c r="F58" i="6" s="1"/>
  <c r="D11" i="6"/>
  <c r="G11" i="6" s="1"/>
  <c r="H11" i="6" s="1"/>
  <c r="D10" i="6"/>
  <c r="D9" i="6"/>
  <c r="D8" i="6"/>
  <c r="D7" i="6"/>
  <c r="D6" i="6"/>
  <c r="F33" i="5"/>
  <c r="E78" i="5" s="1"/>
  <c r="F30" i="5"/>
  <c r="F31" i="5"/>
  <c r="F32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29" i="5"/>
  <c r="E52" i="5" s="1"/>
  <c r="F11" i="5"/>
  <c r="D11" i="5"/>
  <c r="F15" i="5"/>
  <c r="F12" i="5"/>
  <c r="D23" i="5"/>
  <c r="G31" i="5"/>
  <c r="H76" i="5" s="1"/>
  <c r="E55" i="5"/>
  <c r="D7" i="5"/>
  <c r="D8" i="5"/>
  <c r="D9" i="5"/>
  <c r="D10" i="5"/>
  <c r="D12" i="5"/>
  <c r="G12" i="5" s="1"/>
  <c r="D13" i="5"/>
  <c r="D14" i="5"/>
  <c r="F60" i="5" s="1"/>
  <c r="D15" i="5"/>
  <c r="G15" i="5" s="1"/>
  <c r="D16" i="5"/>
  <c r="D17" i="5"/>
  <c r="D18" i="5"/>
  <c r="D19" i="5"/>
  <c r="D20" i="5"/>
  <c r="F66" i="5" s="1"/>
  <c r="M66" i="5" s="1"/>
  <c r="D21" i="5"/>
  <c r="D22" i="5"/>
  <c r="G22" i="5" s="1"/>
  <c r="G23" i="5"/>
  <c r="F63" i="5"/>
  <c r="M63" i="5" s="1"/>
  <c r="D6" i="5"/>
  <c r="G78" i="5"/>
  <c r="G77" i="5"/>
  <c r="G76" i="5"/>
  <c r="G75" i="5"/>
  <c r="G74" i="5"/>
  <c r="F67" i="5"/>
  <c r="M67" i="5" s="1"/>
  <c r="F59" i="5"/>
  <c r="M59" i="5" s="1"/>
  <c r="I56" i="5"/>
  <c r="J57" i="5" s="1"/>
  <c r="E53" i="5"/>
  <c r="E75" i="5"/>
  <c r="G21" i="5"/>
  <c r="G19" i="5"/>
  <c r="G17" i="5"/>
  <c r="G16" i="5"/>
  <c r="F62" i="5"/>
  <c r="G13" i="5"/>
  <c r="F58" i="5"/>
  <c r="G11" i="5"/>
  <c r="H11" i="5" s="1"/>
  <c r="G79" i="5" s="1"/>
  <c r="F101" i="10" l="1"/>
  <c r="G15" i="10"/>
  <c r="O62" i="10"/>
  <c r="P61" i="10"/>
  <c r="Q61" i="10" s="1"/>
  <c r="R61" i="10" s="1"/>
  <c r="D61" i="10" s="1"/>
  <c r="E17" i="10"/>
  <c r="D17" i="10" s="1"/>
  <c r="K60" i="10"/>
  <c r="C230" i="10"/>
  <c r="C222" i="10"/>
  <c r="C214" i="10"/>
  <c r="C229" i="10"/>
  <c r="C221" i="10"/>
  <c r="C213" i="10"/>
  <c r="C228" i="10"/>
  <c r="C220" i="10"/>
  <c r="C212" i="10"/>
  <c r="C226" i="10"/>
  <c r="C218" i="10"/>
  <c r="C225" i="10"/>
  <c r="C217" i="10"/>
  <c r="C223" i="10"/>
  <c r="C215" i="10"/>
  <c r="C227" i="10"/>
  <c r="C224" i="10"/>
  <c r="C219" i="10"/>
  <c r="C216" i="10"/>
  <c r="C211" i="10"/>
  <c r="F97" i="10"/>
  <c r="F11" i="10"/>
  <c r="G11" i="10"/>
  <c r="H11" i="10" s="1"/>
  <c r="F98" i="10"/>
  <c r="G12" i="10"/>
  <c r="F99" i="10"/>
  <c r="G13" i="10"/>
  <c r="O175" i="10"/>
  <c r="O174" i="10"/>
  <c r="O173" i="10"/>
  <c r="E61" i="10"/>
  <c r="K59" i="10"/>
  <c r="L59" i="10" s="1"/>
  <c r="L60" i="10" s="1"/>
  <c r="E16" i="10"/>
  <c r="D16" i="10" s="1"/>
  <c r="I100" i="10"/>
  <c r="N100" i="10"/>
  <c r="G27" i="8"/>
  <c r="L63" i="8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F100" i="8"/>
  <c r="I100" i="8" s="1"/>
  <c r="J101" i="9"/>
  <c r="J102" i="9" s="1"/>
  <c r="J103" i="9" s="1"/>
  <c r="J104" i="9" s="1"/>
  <c r="J105" i="9" s="1"/>
  <c r="J106" i="9" s="1"/>
  <c r="J107" i="9" s="1"/>
  <c r="J108" i="9" s="1"/>
  <c r="J109" i="9" s="1"/>
  <c r="J110" i="9" s="1"/>
  <c r="J111" i="9" s="1"/>
  <c r="J112" i="9" s="1"/>
  <c r="J113" i="9" s="1"/>
  <c r="J114" i="9" s="1"/>
  <c r="J115" i="9" s="1"/>
  <c r="J116" i="9" s="1"/>
  <c r="J117" i="9" s="1"/>
  <c r="J118" i="9" s="1"/>
  <c r="J119" i="9" s="1"/>
  <c r="J120" i="9" s="1"/>
  <c r="J121" i="9" s="1"/>
  <c r="J122" i="9" s="1"/>
  <c r="J123" i="9" s="1"/>
  <c r="J124" i="9" s="1"/>
  <c r="J125" i="9" s="1"/>
  <c r="J126" i="9" s="1"/>
  <c r="J127" i="9" s="1"/>
  <c r="J128" i="9" s="1"/>
  <c r="J129" i="9" s="1"/>
  <c r="G141" i="9"/>
  <c r="H14" i="9"/>
  <c r="E97" i="9"/>
  <c r="M97" i="9" s="1"/>
  <c r="O97" i="9" s="1"/>
  <c r="P97" i="9" s="1"/>
  <c r="E139" i="9"/>
  <c r="G54" i="9"/>
  <c r="H139" i="9" s="1"/>
  <c r="I139" i="9" s="1"/>
  <c r="I140" i="9"/>
  <c r="O174" i="9"/>
  <c r="O173" i="9"/>
  <c r="O175" i="9"/>
  <c r="O58" i="9"/>
  <c r="Q57" i="9"/>
  <c r="R57" i="9" s="1"/>
  <c r="F56" i="9"/>
  <c r="F14" i="9"/>
  <c r="D142" i="9" s="1"/>
  <c r="E98" i="9"/>
  <c r="M98" i="9" s="1"/>
  <c r="O98" i="9" s="1"/>
  <c r="P98" i="9" s="1"/>
  <c r="E140" i="9"/>
  <c r="G55" i="9"/>
  <c r="H140" i="9" s="1"/>
  <c r="O209" i="9"/>
  <c r="O208" i="9"/>
  <c r="O207" i="9"/>
  <c r="E69" i="8"/>
  <c r="E92" i="8"/>
  <c r="G29" i="8"/>
  <c r="K116" i="8"/>
  <c r="I116" i="8" s="1"/>
  <c r="E134" i="8"/>
  <c r="E138" i="8"/>
  <c r="O173" i="8" a="1"/>
  <c r="G12" i="8"/>
  <c r="G16" i="8"/>
  <c r="G20" i="8"/>
  <c r="I138" i="8"/>
  <c r="G22" i="8"/>
  <c r="G14" i="8"/>
  <c r="I98" i="8"/>
  <c r="N98" i="8"/>
  <c r="I104" i="8"/>
  <c r="N104" i="8"/>
  <c r="I106" i="8"/>
  <c r="N106" i="8"/>
  <c r="I136" i="8"/>
  <c r="I134" i="8"/>
  <c r="I102" i="8"/>
  <c r="N102" i="8"/>
  <c r="F54" i="8"/>
  <c r="I108" i="8"/>
  <c r="N108" i="8"/>
  <c r="G15" i="8"/>
  <c r="E94" i="8"/>
  <c r="E137" i="8"/>
  <c r="G52" i="8"/>
  <c r="H137" i="8" s="1"/>
  <c r="I137" i="8" s="1"/>
  <c r="G11" i="8"/>
  <c r="H11" i="8" s="1"/>
  <c r="G17" i="8"/>
  <c r="G21" i="8"/>
  <c r="G23" i="8"/>
  <c r="E135" i="8"/>
  <c r="E96" i="8"/>
  <c r="G13" i="8"/>
  <c r="G19" i="8"/>
  <c r="F12" i="8"/>
  <c r="E136" i="8"/>
  <c r="G50" i="8"/>
  <c r="H135" i="8" s="1"/>
  <c r="I135" i="8" s="1"/>
  <c r="F97" i="8"/>
  <c r="F99" i="8"/>
  <c r="F101" i="8"/>
  <c r="F103" i="8"/>
  <c r="F105" i="8"/>
  <c r="F107" i="8"/>
  <c r="F109" i="8"/>
  <c r="I68" i="7"/>
  <c r="M68" i="7"/>
  <c r="J58" i="7"/>
  <c r="I74" i="7"/>
  <c r="I64" i="7"/>
  <c r="M64" i="7"/>
  <c r="I62" i="7"/>
  <c r="M62" i="7"/>
  <c r="G79" i="7"/>
  <c r="I58" i="7"/>
  <c r="M58" i="7"/>
  <c r="I66" i="7"/>
  <c r="M66" i="7"/>
  <c r="I78" i="7"/>
  <c r="E56" i="7"/>
  <c r="G12" i="7"/>
  <c r="H12" i="7" s="1"/>
  <c r="G30" i="7"/>
  <c r="H75" i="7" s="1"/>
  <c r="I75" i="7" s="1"/>
  <c r="M57" i="7"/>
  <c r="M59" i="7"/>
  <c r="M61" i="7"/>
  <c r="M63" i="7"/>
  <c r="M65" i="7"/>
  <c r="M67" i="7"/>
  <c r="M69" i="7"/>
  <c r="F12" i="7"/>
  <c r="G29" i="7"/>
  <c r="H74" i="7" s="1"/>
  <c r="G33" i="7"/>
  <c r="H78" i="7" s="1"/>
  <c r="G18" i="7"/>
  <c r="G20" i="7"/>
  <c r="G22" i="7"/>
  <c r="E74" i="7"/>
  <c r="G16" i="7"/>
  <c r="F60" i="7"/>
  <c r="F11" i="7"/>
  <c r="G31" i="7"/>
  <c r="H76" i="7" s="1"/>
  <c r="I76" i="7" s="1"/>
  <c r="E53" i="7"/>
  <c r="M62" i="6"/>
  <c r="I62" i="6"/>
  <c r="G79" i="6"/>
  <c r="I64" i="6"/>
  <c r="M64" i="6"/>
  <c r="M58" i="6"/>
  <c r="I58" i="6"/>
  <c r="I66" i="6"/>
  <c r="M66" i="6"/>
  <c r="I77" i="6"/>
  <c r="I60" i="6"/>
  <c r="M60" i="6"/>
  <c r="I68" i="6"/>
  <c r="M68" i="6"/>
  <c r="E56" i="6"/>
  <c r="G12" i="6"/>
  <c r="H12" i="6" s="1"/>
  <c r="G14" i="6"/>
  <c r="G16" i="6"/>
  <c r="G18" i="6"/>
  <c r="G20" i="6"/>
  <c r="G22" i="6"/>
  <c r="E74" i="6"/>
  <c r="E76" i="6"/>
  <c r="G30" i="6"/>
  <c r="H75" i="6" s="1"/>
  <c r="I75" i="6" s="1"/>
  <c r="F57" i="6"/>
  <c r="F59" i="6"/>
  <c r="F61" i="6"/>
  <c r="F63" i="6"/>
  <c r="F65" i="6"/>
  <c r="F67" i="6"/>
  <c r="F69" i="6"/>
  <c r="F11" i="6"/>
  <c r="G31" i="6"/>
  <c r="H76" i="6" s="1"/>
  <c r="I76" i="6" s="1"/>
  <c r="E53" i="6"/>
  <c r="E54" i="5"/>
  <c r="E76" i="5"/>
  <c r="G29" i="5"/>
  <c r="H74" i="5" s="1"/>
  <c r="I74" i="5" s="1"/>
  <c r="E74" i="5"/>
  <c r="G20" i="5"/>
  <c r="M60" i="5"/>
  <c r="I60" i="5"/>
  <c r="M62" i="5"/>
  <c r="I62" i="5"/>
  <c r="M58" i="5"/>
  <c r="I58" i="5"/>
  <c r="H12" i="5"/>
  <c r="E56" i="5"/>
  <c r="I59" i="5"/>
  <c r="I63" i="5"/>
  <c r="I66" i="5"/>
  <c r="G18" i="5"/>
  <c r="G33" i="5"/>
  <c r="H78" i="5" s="1"/>
  <c r="I78" i="5" s="1"/>
  <c r="F68" i="5"/>
  <c r="I76" i="5"/>
  <c r="F65" i="5"/>
  <c r="F61" i="5"/>
  <c r="F57" i="5"/>
  <c r="G30" i="5"/>
  <c r="H75" i="5" s="1"/>
  <c r="I75" i="5" s="1"/>
  <c r="G14" i="5"/>
  <c r="F64" i="5"/>
  <c r="I67" i="5"/>
  <c r="F69" i="5"/>
  <c r="E77" i="5"/>
  <c r="G32" i="5"/>
  <c r="H77" i="5" s="1"/>
  <c r="I77" i="5" s="1"/>
  <c r="F103" i="10" l="1"/>
  <c r="G17" i="10"/>
  <c r="F102" i="10"/>
  <c r="G16" i="10"/>
  <c r="E18" i="10"/>
  <c r="D18" i="10" s="1"/>
  <c r="K61" i="10"/>
  <c r="L61" i="10" s="1"/>
  <c r="F54" i="10"/>
  <c r="D139" i="10"/>
  <c r="I99" i="10"/>
  <c r="N99" i="10"/>
  <c r="O63" i="10"/>
  <c r="P62" i="10"/>
  <c r="Q62" i="10" s="1"/>
  <c r="R62" i="10" s="1"/>
  <c r="D62" i="10" s="1"/>
  <c r="E62" i="10" s="1"/>
  <c r="F12" i="10"/>
  <c r="C171" i="10"/>
  <c r="C166" i="10"/>
  <c r="C162" i="10"/>
  <c r="C158" i="10"/>
  <c r="C154" i="10"/>
  <c r="C169" i="10"/>
  <c r="C168" i="10"/>
  <c r="C164" i="10"/>
  <c r="C160" i="10"/>
  <c r="C156" i="10"/>
  <c r="C152" i="10"/>
  <c r="C170" i="10"/>
  <c r="C167" i="10"/>
  <c r="C153" i="10"/>
  <c r="C163" i="10"/>
  <c r="C159" i="10"/>
  <c r="C155" i="10"/>
  <c r="C165" i="10"/>
  <c r="C161" i="10"/>
  <c r="C157" i="10"/>
  <c r="I97" i="10"/>
  <c r="J98" i="10" s="1"/>
  <c r="J99" i="10" s="1"/>
  <c r="N97" i="10"/>
  <c r="G139" i="10"/>
  <c r="H12" i="10"/>
  <c r="I98" i="10"/>
  <c r="N98" i="10"/>
  <c r="I101" i="10"/>
  <c r="N101" i="10"/>
  <c r="N100" i="8"/>
  <c r="F13" i="8"/>
  <c r="F56" i="8" s="1"/>
  <c r="D140" i="8"/>
  <c r="F57" i="9"/>
  <c r="F15" i="9"/>
  <c r="D143" i="9" s="1"/>
  <c r="E99" i="9"/>
  <c r="M99" i="9" s="1"/>
  <c r="O99" i="9" s="1"/>
  <c r="P99" i="9" s="1"/>
  <c r="E141" i="9"/>
  <c r="G56" i="9"/>
  <c r="H141" i="9" s="1"/>
  <c r="I141" i="9" s="1"/>
  <c r="C229" i="9"/>
  <c r="C221" i="9"/>
  <c r="C213" i="9"/>
  <c r="C228" i="9"/>
  <c r="C220" i="9"/>
  <c r="C212" i="9"/>
  <c r="C227" i="9"/>
  <c r="C219" i="9"/>
  <c r="C211" i="9"/>
  <c r="C226" i="9"/>
  <c r="C218" i="9"/>
  <c r="C225" i="9"/>
  <c r="C217" i="9"/>
  <c r="C224" i="9"/>
  <c r="C216" i="9"/>
  <c r="C223" i="9"/>
  <c r="C215" i="9"/>
  <c r="C230" i="9"/>
  <c r="C222" i="9"/>
  <c r="C214" i="9"/>
  <c r="Q58" i="9"/>
  <c r="R58" i="9" s="1"/>
  <c r="O59" i="9"/>
  <c r="G142" i="9"/>
  <c r="H15" i="9"/>
  <c r="C171" i="9"/>
  <c r="C166" i="9"/>
  <c r="C162" i="9"/>
  <c r="C158" i="9"/>
  <c r="C154" i="9"/>
  <c r="C167" i="9"/>
  <c r="C163" i="9"/>
  <c r="C159" i="9"/>
  <c r="C155" i="9"/>
  <c r="C169" i="9"/>
  <c r="C168" i="9"/>
  <c r="C164" i="9"/>
  <c r="C160" i="9"/>
  <c r="C156" i="9"/>
  <c r="C152" i="9"/>
  <c r="C153" i="9"/>
  <c r="C170" i="9"/>
  <c r="C157" i="9"/>
  <c r="C165" i="9"/>
  <c r="C161" i="9"/>
  <c r="E70" i="8"/>
  <c r="G30" i="8"/>
  <c r="K117" i="8"/>
  <c r="O175" i="8"/>
  <c r="O173" i="8"/>
  <c r="O174" i="8"/>
  <c r="I101" i="8"/>
  <c r="N101" i="8"/>
  <c r="I99" i="8"/>
  <c r="N99" i="8"/>
  <c r="H12" i="8"/>
  <c r="G139" i="8"/>
  <c r="I109" i="8"/>
  <c r="N109" i="8"/>
  <c r="F55" i="8"/>
  <c r="I107" i="8"/>
  <c r="N107" i="8"/>
  <c r="I97" i="8"/>
  <c r="J98" i="8" s="1"/>
  <c r="J99" i="8" s="1"/>
  <c r="N97" i="8"/>
  <c r="I105" i="8"/>
  <c r="N105" i="8"/>
  <c r="G54" i="8"/>
  <c r="H139" i="8" s="1"/>
  <c r="E97" i="8"/>
  <c r="M97" i="8" s="1"/>
  <c r="E139" i="8"/>
  <c r="I103" i="8"/>
  <c r="N103" i="8"/>
  <c r="G80" i="7"/>
  <c r="H13" i="7"/>
  <c r="I60" i="7"/>
  <c r="M60" i="7"/>
  <c r="F35" i="7"/>
  <c r="D80" i="7"/>
  <c r="J59" i="7"/>
  <c r="J60" i="7" s="1"/>
  <c r="J61" i="7" s="1"/>
  <c r="J62" i="7" s="1"/>
  <c r="J63" i="7" s="1"/>
  <c r="J64" i="7" s="1"/>
  <c r="J65" i="7" s="1"/>
  <c r="J66" i="7" s="1"/>
  <c r="J67" i="7" s="1"/>
  <c r="J68" i="7" s="1"/>
  <c r="J69" i="7" s="1"/>
  <c r="F13" i="7"/>
  <c r="D79" i="7"/>
  <c r="F34" i="7"/>
  <c r="G80" i="6"/>
  <c r="H13" i="6"/>
  <c r="I63" i="6"/>
  <c r="M63" i="6"/>
  <c r="I61" i="6"/>
  <c r="M61" i="6"/>
  <c r="I59" i="6"/>
  <c r="M59" i="6"/>
  <c r="M57" i="6"/>
  <c r="I57" i="6"/>
  <c r="J58" i="6" s="1"/>
  <c r="J59" i="6" s="1"/>
  <c r="D79" i="6"/>
  <c r="F34" i="6"/>
  <c r="I69" i="6"/>
  <c r="M69" i="6"/>
  <c r="F12" i="6"/>
  <c r="M67" i="6"/>
  <c r="I67" i="6"/>
  <c r="I65" i="6"/>
  <c r="M65" i="6"/>
  <c r="M61" i="5"/>
  <c r="I61" i="5"/>
  <c r="M65" i="5"/>
  <c r="I65" i="5"/>
  <c r="M64" i="5"/>
  <c r="I64" i="5"/>
  <c r="M68" i="5"/>
  <c r="I68" i="5"/>
  <c r="D79" i="5"/>
  <c r="H13" i="5"/>
  <c r="G80" i="5"/>
  <c r="M69" i="5"/>
  <c r="I69" i="5"/>
  <c r="M57" i="5"/>
  <c r="I57" i="5"/>
  <c r="J58" i="5" s="1"/>
  <c r="J59" i="5" s="1"/>
  <c r="J60" i="5" s="1"/>
  <c r="J61" i="5" s="1"/>
  <c r="J62" i="5" s="1"/>
  <c r="J63" i="5" s="1"/>
  <c r="J64" i="5" s="1"/>
  <c r="J100" i="10" l="1"/>
  <c r="J101" i="10" s="1"/>
  <c r="J102" i="10" s="1"/>
  <c r="D126" i="10"/>
  <c r="C83" i="10"/>
  <c r="C40" i="10"/>
  <c r="D125" i="10"/>
  <c r="C39" i="10"/>
  <c r="C82" i="10"/>
  <c r="D112" i="10"/>
  <c r="C26" i="10"/>
  <c r="C69" i="10"/>
  <c r="C85" i="10"/>
  <c r="C42" i="10"/>
  <c r="D128" i="10"/>
  <c r="C76" i="10"/>
  <c r="D119" i="10"/>
  <c r="C33" i="10"/>
  <c r="D110" i="10"/>
  <c r="C67" i="10"/>
  <c r="C24" i="10"/>
  <c r="C34" i="10"/>
  <c r="D120" i="10"/>
  <c r="C77" i="10"/>
  <c r="I102" i="10"/>
  <c r="J103" i="10" s="1"/>
  <c r="N102" i="10"/>
  <c r="D121" i="10"/>
  <c r="C78" i="10"/>
  <c r="C35" i="10"/>
  <c r="D111" i="10"/>
  <c r="C68" i="10"/>
  <c r="C25" i="10"/>
  <c r="D116" i="10"/>
  <c r="C30" i="10"/>
  <c r="C73" i="10"/>
  <c r="D123" i="10"/>
  <c r="C80" i="10"/>
  <c r="C37" i="10"/>
  <c r="D114" i="10"/>
  <c r="C71" i="10"/>
  <c r="C28" i="10"/>
  <c r="D124" i="10"/>
  <c r="C81" i="10"/>
  <c r="C38" i="10"/>
  <c r="E97" i="10"/>
  <c r="M97" i="10" s="1"/>
  <c r="O97" i="10" s="1"/>
  <c r="P97" i="10" s="1"/>
  <c r="E139" i="10"/>
  <c r="G54" i="10"/>
  <c r="H139" i="10" s="1"/>
  <c r="I139" i="10" s="1"/>
  <c r="F104" i="10"/>
  <c r="G18" i="10"/>
  <c r="C84" i="10"/>
  <c r="D127" i="10"/>
  <c r="C41" i="10"/>
  <c r="G140" i="10"/>
  <c r="H13" i="10"/>
  <c r="D113" i="10"/>
  <c r="C70" i="10"/>
  <c r="C27" i="10"/>
  <c r="D118" i="10"/>
  <c r="C75" i="10"/>
  <c r="C32" i="10"/>
  <c r="D129" i="10"/>
  <c r="C86" i="10"/>
  <c r="C43" i="10"/>
  <c r="E19" i="10"/>
  <c r="D19" i="10" s="1"/>
  <c r="K62" i="10"/>
  <c r="L62" i="10" s="1"/>
  <c r="O64" i="10"/>
  <c r="P63" i="10"/>
  <c r="Q63" i="10" s="1"/>
  <c r="R63" i="10" s="1"/>
  <c r="D63" i="10" s="1"/>
  <c r="C72" i="10"/>
  <c r="C29" i="10"/>
  <c r="D115" i="10"/>
  <c r="D117" i="10"/>
  <c r="C31" i="10"/>
  <c r="C74" i="10"/>
  <c r="D122" i="10"/>
  <c r="C79" i="10"/>
  <c r="C36" i="10"/>
  <c r="D140" i="10"/>
  <c r="F55" i="10"/>
  <c r="F13" i="10"/>
  <c r="I103" i="10"/>
  <c r="N103" i="10"/>
  <c r="D141" i="8"/>
  <c r="F14" i="8"/>
  <c r="D142" i="8" s="1"/>
  <c r="D126" i="9"/>
  <c r="C40" i="9"/>
  <c r="C83" i="9"/>
  <c r="C85" i="9"/>
  <c r="D128" i="9"/>
  <c r="C42" i="9"/>
  <c r="C27" i="9"/>
  <c r="D113" i="9"/>
  <c r="C70" i="9"/>
  <c r="C86" i="9"/>
  <c r="C43" i="9"/>
  <c r="D129" i="9"/>
  <c r="D111" i="9"/>
  <c r="C68" i="9"/>
  <c r="C25" i="9"/>
  <c r="H16" i="9"/>
  <c r="G143" i="9"/>
  <c r="D127" i="9"/>
  <c r="C84" i="9"/>
  <c r="C41" i="9"/>
  <c r="D122" i="9"/>
  <c r="C36" i="9"/>
  <c r="C79" i="9"/>
  <c r="D115" i="9"/>
  <c r="C72" i="9"/>
  <c r="C29" i="9"/>
  <c r="C74" i="9"/>
  <c r="D117" i="9"/>
  <c r="C31" i="9"/>
  <c r="D110" i="9"/>
  <c r="C24" i="9"/>
  <c r="C67" i="9"/>
  <c r="D114" i="9"/>
  <c r="C28" i="9"/>
  <c r="C71" i="9"/>
  <c r="C82" i="9"/>
  <c r="C39" i="9"/>
  <c r="D125" i="9"/>
  <c r="O60" i="9"/>
  <c r="Q59" i="9"/>
  <c r="R59" i="9" s="1"/>
  <c r="D116" i="9"/>
  <c r="C73" i="9"/>
  <c r="C30" i="9"/>
  <c r="C81" i="9"/>
  <c r="D124" i="9"/>
  <c r="C38" i="9"/>
  <c r="C78" i="9"/>
  <c r="D121" i="9"/>
  <c r="C35" i="9"/>
  <c r="D118" i="9"/>
  <c r="C32" i="9"/>
  <c r="C75" i="9"/>
  <c r="D112" i="9"/>
  <c r="C26" i="9"/>
  <c r="C69" i="9"/>
  <c r="F58" i="9"/>
  <c r="F16" i="9"/>
  <c r="D144" i="9" s="1"/>
  <c r="D119" i="9"/>
  <c r="C76" i="9"/>
  <c r="C33" i="9"/>
  <c r="D123" i="9"/>
  <c r="C80" i="9"/>
  <c r="C37" i="9"/>
  <c r="C77" i="9"/>
  <c r="D120" i="9"/>
  <c r="C34" i="9"/>
  <c r="E100" i="9"/>
  <c r="M100" i="9" s="1"/>
  <c r="O100" i="9" s="1"/>
  <c r="P100" i="9" s="1"/>
  <c r="E142" i="9"/>
  <c r="G57" i="9"/>
  <c r="H142" i="9" s="1"/>
  <c r="I142" i="9" s="1"/>
  <c r="E71" i="8"/>
  <c r="I117" i="8"/>
  <c r="G31" i="8"/>
  <c r="K118" i="8"/>
  <c r="C153" i="8"/>
  <c r="C161" i="8"/>
  <c r="C169" i="8"/>
  <c r="C162" i="8"/>
  <c r="C170" i="8"/>
  <c r="C154" i="8"/>
  <c r="C171" i="8"/>
  <c r="C164" i="8"/>
  <c r="C155" i="8"/>
  <c r="C163" i="8"/>
  <c r="C156" i="8"/>
  <c r="C157" i="8"/>
  <c r="C165" i="8"/>
  <c r="C158" i="8"/>
  <c r="C166" i="8"/>
  <c r="C159" i="8"/>
  <c r="C167" i="8"/>
  <c r="C160" i="8"/>
  <c r="C168" i="8"/>
  <c r="C152" i="8"/>
  <c r="J100" i="8"/>
  <c r="J101" i="8" s="1"/>
  <c r="J102" i="8" s="1"/>
  <c r="J103" i="8" s="1"/>
  <c r="J104" i="8" s="1"/>
  <c r="J105" i="8" s="1"/>
  <c r="J106" i="8" s="1"/>
  <c r="J107" i="8" s="1"/>
  <c r="J108" i="8" s="1"/>
  <c r="J109" i="8" s="1"/>
  <c r="J110" i="8" s="1"/>
  <c r="J111" i="8" s="1"/>
  <c r="J112" i="8" s="1"/>
  <c r="J113" i="8" s="1"/>
  <c r="J114" i="8" s="1"/>
  <c r="J115" i="8" s="1"/>
  <c r="J116" i="8" s="1"/>
  <c r="J117" i="8" s="1"/>
  <c r="O97" i="8"/>
  <c r="P97" i="8" s="1"/>
  <c r="G140" i="8"/>
  <c r="H13" i="8"/>
  <c r="G55" i="8"/>
  <c r="H140" i="8" s="1"/>
  <c r="E140" i="8"/>
  <c r="E98" i="8"/>
  <c r="M98" i="8" s="1"/>
  <c r="O98" i="8" s="1"/>
  <c r="P98" i="8" s="1"/>
  <c r="I139" i="8"/>
  <c r="E99" i="8"/>
  <c r="M99" i="8" s="1"/>
  <c r="O99" i="8" s="1"/>
  <c r="P99" i="8" s="1"/>
  <c r="E141" i="8"/>
  <c r="G56" i="8"/>
  <c r="H141" i="8" s="1"/>
  <c r="G34" i="7"/>
  <c r="H79" i="7" s="1"/>
  <c r="I79" i="7" s="1"/>
  <c r="E57" i="7"/>
  <c r="L57" i="7" s="1"/>
  <c r="N57" i="7" s="1"/>
  <c r="O57" i="7" s="1"/>
  <c r="E79" i="7"/>
  <c r="H14" i="7"/>
  <c r="G81" i="7"/>
  <c r="G35" i="7"/>
  <c r="H80" i="7" s="1"/>
  <c r="I80" i="7" s="1"/>
  <c r="E80" i="7"/>
  <c r="E58" i="7"/>
  <c r="L58" i="7" s="1"/>
  <c r="N58" i="7" s="1"/>
  <c r="O58" i="7" s="1"/>
  <c r="F36" i="7"/>
  <c r="D81" i="7"/>
  <c r="F14" i="7"/>
  <c r="J60" i="6"/>
  <c r="J61" i="6" s="1"/>
  <c r="J62" i="6" s="1"/>
  <c r="J63" i="6" s="1"/>
  <c r="J64" i="6" s="1"/>
  <c r="J65" i="6" s="1"/>
  <c r="J66" i="6" s="1"/>
  <c r="J67" i="6" s="1"/>
  <c r="J68" i="6" s="1"/>
  <c r="J69" i="6" s="1"/>
  <c r="F35" i="6"/>
  <c r="D80" i="6"/>
  <c r="F13" i="6"/>
  <c r="G34" i="6"/>
  <c r="H79" i="6" s="1"/>
  <c r="I79" i="6" s="1"/>
  <c r="E57" i="6"/>
  <c r="L57" i="6" s="1"/>
  <c r="N57" i="6" s="1"/>
  <c r="O57" i="6" s="1"/>
  <c r="E79" i="6"/>
  <c r="H14" i="6"/>
  <c r="G81" i="6"/>
  <c r="H14" i="5"/>
  <c r="G81" i="5"/>
  <c r="E79" i="5"/>
  <c r="G34" i="5"/>
  <c r="H79" i="5" s="1"/>
  <c r="I79" i="5" s="1"/>
  <c r="E57" i="5"/>
  <c r="L57" i="5" s="1"/>
  <c r="N57" i="5" s="1"/>
  <c r="O57" i="5" s="1"/>
  <c r="D80" i="5"/>
  <c r="F13" i="5"/>
  <c r="J65" i="5"/>
  <c r="J66" i="5" s="1"/>
  <c r="J67" i="5" s="1"/>
  <c r="J68" i="5" s="1"/>
  <c r="J69" i="5" s="1"/>
  <c r="J104" i="10" l="1"/>
  <c r="E20" i="10"/>
  <c r="D20" i="10" s="1"/>
  <c r="K63" i="10"/>
  <c r="L63" i="10" s="1"/>
  <c r="O65" i="10"/>
  <c r="P64" i="10"/>
  <c r="Q64" i="10" s="1"/>
  <c r="R64" i="10" s="1"/>
  <c r="D64" i="10" s="1"/>
  <c r="G141" i="10"/>
  <c r="H14" i="10"/>
  <c r="D141" i="10"/>
  <c r="F56" i="10"/>
  <c r="F14" i="10"/>
  <c r="I104" i="10"/>
  <c r="N104" i="10"/>
  <c r="E140" i="10"/>
  <c r="E98" i="10"/>
  <c r="M98" i="10" s="1"/>
  <c r="O98" i="10" s="1"/>
  <c r="P98" i="10" s="1"/>
  <c r="G55" i="10"/>
  <c r="H140" i="10" s="1"/>
  <c r="I140" i="10" s="1"/>
  <c r="F105" i="10"/>
  <c r="G19" i="10"/>
  <c r="E63" i="10"/>
  <c r="E64" i="10" s="1"/>
  <c r="F57" i="8"/>
  <c r="G57" i="8" s="1"/>
  <c r="H142" i="8" s="1"/>
  <c r="F15" i="8"/>
  <c r="D143" i="8" s="1"/>
  <c r="G144" i="9"/>
  <c r="H17" i="9"/>
  <c r="Q60" i="9"/>
  <c r="R60" i="9" s="1"/>
  <c r="O61" i="9"/>
  <c r="F59" i="9"/>
  <c r="F17" i="9"/>
  <c r="D145" i="9" s="1"/>
  <c r="E143" i="9"/>
  <c r="E101" i="9"/>
  <c r="M101" i="9" s="1"/>
  <c r="O101" i="9" s="1"/>
  <c r="P101" i="9" s="1"/>
  <c r="G58" i="9"/>
  <c r="H143" i="9" s="1"/>
  <c r="I143" i="9" s="1"/>
  <c r="E72" i="8"/>
  <c r="J118" i="8"/>
  <c r="C39" i="8"/>
  <c r="C82" i="8"/>
  <c r="D125" i="8"/>
  <c r="C31" i="8"/>
  <c r="C74" i="8"/>
  <c r="D117" i="8"/>
  <c r="C36" i="8"/>
  <c r="C79" i="8"/>
  <c r="D122" i="8"/>
  <c r="I118" i="8"/>
  <c r="C25" i="8"/>
  <c r="C68" i="8"/>
  <c r="D111" i="8"/>
  <c r="C38" i="8"/>
  <c r="C81" i="8"/>
  <c r="D124" i="8"/>
  <c r="C43" i="8"/>
  <c r="C86" i="8"/>
  <c r="D129" i="8"/>
  <c r="C26" i="8"/>
  <c r="C69" i="8"/>
  <c r="D112" i="8"/>
  <c r="C37" i="8"/>
  <c r="C80" i="8"/>
  <c r="D123" i="8"/>
  <c r="C42" i="8"/>
  <c r="C85" i="8"/>
  <c r="D128" i="8"/>
  <c r="C30" i="8"/>
  <c r="C73" i="8"/>
  <c r="D116" i="8"/>
  <c r="C24" i="8"/>
  <c r="C67" i="8"/>
  <c r="D110" i="8"/>
  <c r="C29" i="8"/>
  <c r="C72" i="8"/>
  <c r="D115" i="8"/>
  <c r="C34" i="8"/>
  <c r="C77" i="8"/>
  <c r="D120" i="8"/>
  <c r="C27" i="8"/>
  <c r="C70" i="8"/>
  <c r="D113" i="8"/>
  <c r="C40" i="8"/>
  <c r="C83" i="8"/>
  <c r="D126" i="8"/>
  <c r="C28" i="8"/>
  <c r="C71" i="8"/>
  <c r="D114" i="8"/>
  <c r="C41" i="8"/>
  <c r="C84" i="8"/>
  <c r="D127" i="8"/>
  <c r="C32" i="8"/>
  <c r="C75" i="8"/>
  <c r="D118" i="8"/>
  <c r="C35" i="8"/>
  <c r="C78" i="8"/>
  <c r="D121" i="8"/>
  <c r="C33" i="8"/>
  <c r="C76" i="8"/>
  <c r="D119" i="8"/>
  <c r="K119" i="8"/>
  <c r="G32" i="8"/>
  <c r="I140" i="8"/>
  <c r="H14" i="8"/>
  <c r="G141" i="8"/>
  <c r="I141" i="8" s="1"/>
  <c r="E59" i="7"/>
  <c r="L59" i="7" s="1"/>
  <c r="N59" i="7" s="1"/>
  <c r="O59" i="7" s="1"/>
  <c r="E81" i="7"/>
  <c r="G36" i="7"/>
  <c r="H81" i="7" s="1"/>
  <c r="G82" i="7"/>
  <c r="H15" i="7"/>
  <c r="I81" i="7"/>
  <c r="F37" i="7"/>
  <c r="D82" i="7"/>
  <c r="F15" i="7"/>
  <c r="G35" i="6"/>
  <c r="H80" i="6" s="1"/>
  <c r="I80" i="6" s="1"/>
  <c r="E80" i="6"/>
  <c r="E58" i="6"/>
  <c r="L58" i="6" s="1"/>
  <c r="N58" i="6" s="1"/>
  <c r="O58" i="6" s="1"/>
  <c r="G82" i="6"/>
  <c r="H15" i="6"/>
  <c r="F36" i="6"/>
  <c r="F14" i="6"/>
  <c r="D81" i="6"/>
  <c r="E80" i="5"/>
  <c r="G35" i="5"/>
  <c r="H80" i="5" s="1"/>
  <c r="I80" i="5" s="1"/>
  <c r="E58" i="5"/>
  <c r="L58" i="5" s="1"/>
  <c r="N58" i="5" s="1"/>
  <c r="O58" i="5" s="1"/>
  <c r="G82" i="5"/>
  <c r="H15" i="5"/>
  <c r="D81" i="5"/>
  <c r="F14" i="5"/>
  <c r="J105" i="10" l="1"/>
  <c r="F106" i="10"/>
  <c r="G20" i="10"/>
  <c r="D142" i="10"/>
  <c r="F57" i="10"/>
  <c r="F15" i="10"/>
  <c r="E99" i="10"/>
  <c r="M99" i="10" s="1"/>
  <c r="O99" i="10" s="1"/>
  <c r="P99" i="10" s="1"/>
  <c r="E141" i="10"/>
  <c r="G56" i="10"/>
  <c r="H141" i="10" s="1"/>
  <c r="I141" i="10" s="1"/>
  <c r="K64" i="10"/>
  <c r="L64" i="10" s="1"/>
  <c r="E21" i="10"/>
  <c r="D21" i="10"/>
  <c r="G142" i="10"/>
  <c r="H15" i="10"/>
  <c r="P65" i="10"/>
  <c r="Q65" i="10" s="1"/>
  <c r="R65" i="10" s="1"/>
  <c r="D65" i="10" s="1"/>
  <c r="O66" i="10"/>
  <c r="I105" i="10"/>
  <c r="J106" i="10" s="1"/>
  <c r="N105" i="10"/>
  <c r="E142" i="8"/>
  <c r="E100" i="8"/>
  <c r="M100" i="8" s="1"/>
  <c r="O100" i="8" s="1"/>
  <c r="P100" i="8" s="1"/>
  <c r="F16" i="8"/>
  <c r="D144" i="8" s="1"/>
  <c r="F58" i="8"/>
  <c r="E143" i="8" s="1"/>
  <c r="E102" i="9"/>
  <c r="M102" i="9" s="1"/>
  <c r="O102" i="9" s="1"/>
  <c r="P102" i="9" s="1"/>
  <c r="E144" i="9"/>
  <c r="G59" i="9"/>
  <c r="H144" i="9" s="1"/>
  <c r="I144" i="9" s="1"/>
  <c r="F60" i="9"/>
  <c r="F18" i="9"/>
  <c r="D146" i="9" s="1"/>
  <c r="O62" i="9"/>
  <c r="Q61" i="9"/>
  <c r="R61" i="9" s="1"/>
  <c r="G145" i="9"/>
  <c r="H18" i="9"/>
  <c r="E73" i="8"/>
  <c r="J119" i="8"/>
  <c r="I119" i="8"/>
  <c r="K120" i="8"/>
  <c r="G33" i="8"/>
  <c r="G142" i="8"/>
  <c r="I142" i="8" s="1"/>
  <c r="H15" i="8"/>
  <c r="D83" i="7"/>
  <c r="F38" i="7"/>
  <c r="F16" i="7"/>
  <c r="E82" i="7"/>
  <c r="E60" i="7"/>
  <c r="L60" i="7" s="1"/>
  <c r="N60" i="7" s="1"/>
  <c r="O60" i="7" s="1"/>
  <c r="G37" i="7"/>
  <c r="H82" i="7" s="1"/>
  <c r="I82" i="7" s="1"/>
  <c r="G83" i="7"/>
  <c r="H16" i="7"/>
  <c r="G83" i="6"/>
  <c r="H16" i="6"/>
  <c r="D82" i="6"/>
  <c r="F37" i="6"/>
  <c r="F15" i="6"/>
  <c r="E59" i="6"/>
  <c r="L59" i="6" s="1"/>
  <c r="N59" i="6" s="1"/>
  <c r="O59" i="6" s="1"/>
  <c r="G36" i="6"/>
  <c r="H81" i="6" s="1"/>
  <c r="I81" i="6" s="1"/>
  <c r="E81" i="6"/>
  <c r="G83" i="5"/>
  <c r="H16" i="5"/>
  <c r="G36" i="5"/>
  <c r="H81" i="5" s="1"/>
  <c r="I81" i="5" s="1"/>
  <c r="E81" i="5"/>
  <c r="E59" i="5"/>
  <c r="L59" i="5" s="1"/>
  <c r="N59" i="5" s="1"/>
  <c r="O59" i="5" s="1"/>
  <c r="D82" i="5"/>
  <c r="F107" i="10" l="1"/>
  <c r="G21" i="10"/>
  <c r="E22" i="10"/>
  <c r="D22" i="10" s="1"/>
  <c r="K65" i="10"/>
  <c r="L65" i="10" s="1"/>
  <c r="G143" i="10"/>
  <c r="H16" i="10"/>
  <c r="D143" i="10"/>
  <c r="F58" i="10"/>
  <c r="F16" i="10"/>
  <c r="E65" i="10"/>
  <c r="E100" i="10"/>
  <c r="M100" i="10" s="1"/>
  <c r="O100" i="10" s="1"/>
  <c r="P100" i="10" s="1"/>
  <c r="G57" i="10"/>
  <c r="H142" i="10" s="1"/>
  <c r="I142" i="10" s="1"/>
  <c r="E142" i="10"/>
  <c r="P66" i="10"/>
  <c r="Q66" i="10" s="1"/>
  <c r="R66" i="10" s="1"/>
  <c r="D66" i="10" s="1"/>
  <c r="I106" i="10"/>
  <c r="J107" i="10" s="1"/>
  <c r="N106" i="10"/>
  <c r="E101" i="8"/>
  <c r="M101" i="8" s="1"/>
  <c r="O101" i="8" s="1"/>
  <c r="P101" i="8" s="1"/>
  <c r="G58" i="8"/>
  <c r="H143" i="8" s="1"/>
  <c r="F17" i="8"/>
  <c r="D145" i="8" s="1"/>
  <c r="F59" i="8"/>
  <c r="G59" i="8" s="1"/>
  <c r="H144" i="8" s="1"/>
  <c r="G146" i="9"/>
  <c r="H19" i="9"/>
  <c r="O63" i="9"/>
  <c r="Q62" i="9"/>
  <c r="R62" i="9" s="1"/>
  <c r="F61" i="9"/>
  <c r="F19" i="9"/>
  <c r="D147" i="9" s="1"/>
  <c r="E103" i="9"/>
  <c r="M103" i="9" s="1"/>
  <c r="O103" i="9" s="1"/>
  <c r="P103" i="9" s="1"/>
  <c r="E145" i="9"/>
  <c r="G60" i="9"/>
  <c r="H145" i="9" s="1"/>
  <c r="I145" i="9" s="1"/>
  <c r="J120" i="8"/>
  <c r="E74" i="8"/>
  <c r="I120" i="8"/>
  <c r="K121" i="8"/>
  <c r="G34" i="8"/>
  <c r="G143" i="8"/>
  <c r="H16" i="8"/>
  <c r="G84" i="7"/>
  <c r="H17" i="7"/>
  <c r="F39" i="7"/>
  <c r="D84" i="7"/>
  <c r="F17" i="7"/>
  <c r="E83" i="7"/>
  <c r="G38" i="7"/>
  <c r="H83" i="7" s="1"/>
  <c r="I83" i="7" s="1"/>
  <c r="E61" i="7"/>
  <c r="L61" i="7" s="1"/>
  <c r="N61" i="7" s="1"/>
  <c r="O61" i="7" s="1"/>
  <c r="D83" i="6"/>
  <c r="F38" i="6"/>
  <c r="F16" i="6"/>
  <c r="E82" i="6"/>
  <c r="E60" i="6"/>
  <c r="L60" i="6" s="1"/>
  <c r="N60" i="6" s="1"/>
  <c r="O60" i="6" s="1"/>
  <c r="G37" i="6"/>
  <c r="H82" i="6" s="1"/>
  <c r="I82" i="6" s="1"/>
  <c r="H17" i="6"/>
  <c r="G84" i="6"/>
  <c r="E82" i="5"/>
  <c r="G37" i="5"/>
  <c r="H82" i="5" s="1"/>
  <c r="I82" i="5" s="1"/>
  <c r="E60" i="5"/>
  <c r="L60" i="5" s="1"/>
  <c r="N60" i="5" s="1"/>
  <c r="O60" i="5" s="1"/>
  <c r="H17" i="5"/>
  <c r="G84" i="5"/>
  <c r="D83" i="5"/>
  <c r="F16" i="5"/>
  <c r="I107" i="10" l="1"/>
  <c r="J108" i="10" s="1"/>
  <c r="N107" i="10"/>
  <c r="G144" i="10"/>
  <c r="H17" i="10"/>
  <c r="E66" i="10"/>
  <c r="F108" i="10"/>
  <c r="G22" i="10"/>
  <c r="K66" i="10"/>
  <c r="L66" i="10" s="1"/>
  <c r="E23" i="10"/>
  <c r="D23" i="10" s="1"/>
  <c r="D144" i="10"/>
  <c r="F59" i="10"/>
  <c r="F17" i="10"/>
  <c r="O68" i="10"/>
  <c r="P67" i="10"/>
  <c r="Q67" i="10" s="1"/>
  <c r="R67" i="10" s="1"/>
  <c r="E143" i="10"/>
  <c r="E101" i="10"/>
  <c r="M101" i="10" s="1"/>
  <c r="O101" i="10" s="1"/>
  <c r="P101" i="10" s="1"/>
  <c r="G58" i="10"/>
  <c r="H143" i="10" s="1"/>
  <c r="I143" i="10" s="1"/>
  <c r="I143" i="8"/>
  <c r="F18" i="8"/>
  <c r="D146" i="8" s="1"/>
  <c r="F60" i="8"/>
  <c r="E145" i="8" s="1"/>
  <c r="E102" i="8"/>
  <c r="M102" i="8" s="1"/>
  <c r="O102" i="8" s="1"/>
  <c r="P102" i="8" s="1"/>
  <c r="E144" i="8"/>
  <c r="G147" i="9"/>
  <c r="H20" i="9"/>
  <c r="F62" i="9"/>
  <c r="F20" i="9"/>
  <c r="D148" i="9" s="1"/>
  <c r="E146" i="9"/>
  <c r="E104" i="9"/>
  <c r="M104" i="9" s="1"/>
  <c r="O104" i="9" s="1"/>
  <c r="P104" i="9" s="1"/>
  <c r="G61" i="9"/>
  <c r="H146" i="9" s="1"/>
  <c r="I146" i="9" s="1"/>
  <c r="O64" i="9"/>
  <c r="Q63" i="9"/>
  <c r="R63" i="9" s="1"/>
  <c r="J121" i="8"/>
  <c r="E75" i="8"/>
  <c r="I121" i="8"/>
  <c r="G35" i="8"/>
  <c r="K122" i="8"/>
  <c r="G144" i="8"/>
  <c r="I144" i="8" s="1"/>
  <c r="H17" i="8"/>
  <c r="G85" i="7"/>
  <c r="H18" i="7"/>
  <c r="F40" i="7"/>
  <c r="D85" i="7"/>
  <c r="F18" i="7"/>
  <c r="G39" i="7"/>
  <c r="H84" i="7" s="1"/>
  <c r="I84" i="7" s="1"/>
  <c r="E62" i="7"/>
  <c r="L62" i="7" s="1"/>
  <c r="N62" i="7" s="1"/>
  <c r="O62" i="7" s="1"/>
  <c r="E84" i="7"/>
  <c r="D84" i="6"/>
  <c r="F39" i="6"/>
  <c r="F17" i="6"/>
  <c r="G85" i="6"/>
  <c r="H18" i="6"/>
  <c r="E83" i="6"/>
  <c r="G38" i="6"/>
  <c r="H83" i="6" s="1"/>
  <c r="I83" i="6" s="1"/>
  <c r="E61" i="6"/>
  <c r="L61" i="6" s="1"/>
  <c r="N61" i="6" s="1"/>
  <c r="O61" i="6" s="1"/>
  <c r="E83" i="5"/>
  <c r="E61" i="5"/>
  <c r="L61" i="5" s="1"/>
  <c r="N61" i="5" s="1"/>
  <c r="O61" i="5" s="1"/>
  <c r="G38" i="5"/>
  <c r="H83" i="5" s="1"/>
  <c r="I83" i="5" s="1"/>
  <c r="G85" i="5"/>
  <c r="H18" i="5"/>
  <c r="D84" i="5"/>
  <c r="F17" i="5"/>
  <c r="E67" i="10" l="1"/>
  <c r="O69" i="10"/>
  <c r="P68" i="10"/>
  <c r="Q68" i="10" s="1"/>
  <c r="R68" i="10" s="1"/>
  <c r="D68" i="10" s="1"/>
  <c r="E102" i="10"/>
  <c r="M102" i="10" s="1"/>
  <c r="O102" i="10" s="1"/>
  <c r="P102" i="10" s="1"/>
  <c r="G59" i="10"/>
  <c r="H144" i="10" s="1"/>
  <c r="E144" i="10"/>
  <c r="D145" i="10"/>
  <c r="F60" i="10"/>
  <c r="F18" i="10"/>
  <c r="G145" i="10"/>
  <c r="H18" i="10"/>
  <c r="F109" i="10"/>
  <c r="G23" i="10"/>
  <c r="I144" i="10"/>
  <c r="E24" i="10"/>
  <c r="D24" i="10" s="1"/>
  <c r="K67" i="10"/>
  <c r="L67" i="10" s="1"/>
  <c r="I108" i="10"/>
  <c r="J109" i="10" s="1"/>
  <c r="N108" i="10"/>
  <c r="F61" i="8"/>
  <c r="E146" i="8" s="1"/>
  <c r="F19" i="8"/>
  <c r="D147" i="8" s="1"/>
  <c r="G60" i="8"/>
  <c r="H145" i="8" s="1"/>
  <c r="E103" i="8"/>
  <c r="M103" i="8" s="1"/>
  <c r="O103" i="8" s="1"/>
  <c r="P103" i="8" s="1"/>
  <c r="G148" i="9"/>
  <c r="H21" i="9"/>
  <c r="O65" i="9"/>
  <c r="Q64" i="9"/>
  <c r="R64" i="9" s="1"/>
  <c r="F63" i="9"/>
  <c r="F21" i="9"/>
  <c r="D149" i="9" s="1"/>
  <c r="E105" i="9"/>
  <c r="M105" i="9" s="1"/>
  <c r="O105" i="9" s="1"/>
  <c r="P105" i="9" s="1"/>
  <c r="E147" i="9"/>
  <c r="G62" i="9"/>
  <c r="H147" i="9" s="1"/>
  <c r="I147" i="9" s="1"/>
  <c r="J122" i="8"/>
  <c r="E76" i="8"/>
  <c r="I122" i="8"/>
  <c r="G36" i="8"/>
  <c r="K123" i="8"/>
  <c r="H18" i="8"/>
  <c r="G145" i="8"/>
  <c r="G86" i="7"/>
  <c r="H19" i="7"/>
  <c r="F41" i="7"/>
  <c r="D86" i="7"/>
  <c r="F19" i="7"/>
  <c r="E85" i="7"/>
  <c r="E63" i="7"/>
  <c r="L63" i="7" s="1"/>
  <c r="N63" i="7" s="1"/>
  <c r="O63" i="7" s="1"/>
  <c r="G40" i="7"/>
  <c r="H85" i="7" s="1"/>
  <c r="I85" i="7" s="1"/>
  <c r="G86" i="6"/>
  <c r="H19" i="6"/>
  <c r="F40" i="6"/>
  <c r="D85" i="6"/>
  <c r="F18" i="6"/>
  <c r="G39" i="6"/>
  <c r="H84" i="6" s="1"/>
  <c r="I84" i="6" s="1"/>
  <c r="E62" i="6"/>
  <c r="L62" i="6" s="1"/>
  <c r="N62" i="6" s="1"/>
  <c r="O62" i="6" s="1"/>
  <c r="E84" i="6"/>
  <c r="H19" i="5"/>
  <c r="G86" i="5"/>
  <c r="D85" i="5"/>
  <c r="F18" i="5"/>
  <c r="G39" i="5"/>
  <c r="H84" i="5" s="1"/>
  <c r="I84" i="5" s="1"/>
  <c r="E84" i="5"/>
  <c r="E62" i="5"/>
  <c r="L62" i="5" s="1"/>
  <c r="N62" i="5" s="1"/>
  <c r="O62" i="5" s="1"/>
  <c r="F110" i="10" l="1"/>
  <c r="I110" i="10" s="1"/>
  <c r="G24" i="10"/>
  <c r="E103" i="10"/>
  <c r="M103" i="10" s="1"/>
  <c r="O103" i="10" s="1"/>
  <c r="P103" i="10" s="1"/>
  <c r="G60" i="10"/>
  <c r="H145" i="10" s="1"/>
  <c r="E145" i="10"/>
  <c r="F61" i="10"/>
  <c r="D146" i="10"/>
  <c r="F19" i="10"/>
  <c r="I109" i="10"/>
  <c r="J110" i="10" s="1"/>
  <c r="N109" i="10"/>
  <c r="G146" i="10"/>
  <c r="H19" i="10"/>
  <c r="I145" i="10"/>
  <c r="K68" i="10"/>
  <c r="L68" i="10" s="1"/>
  <c r="E25" i="10"/>
  <c r="D25" i="10" s="1"/>
  <c r="E68" i="10"/>
  <c r="O70" i="10"/>
  <c r="P69" i="10"/>
  <c r="Q69" i="10" s="1"/>
  <c r="R69" i="10" s="1"/>
  <c r="D69" i="10" s="1"/>
  <c r="G61" i="8"/>
  <c r="H146" i="8" s="1"/>
  <c r="E104" i="8"/>
  <c r="M104" i="8" s="1"/>
  <c r="O104" i="8" s="1"/>
  <c r="P104" i="8" s="1"/>
  <c r="F20" i="8"/>
  <c r="D148" i="8" s="1"/>
  <c r="F62" i="8"/>
  <c r="G62" i="8" s="1"/>
  <c r="H147" i="8" s="1"/>
  <c r="I145" i="8"/>
  <c r="F64" i="9"/>
  <c r="F22" i="9"/>
  <c r="D150" i="9" s="1"/>
  <c r="O66" i="9"/>
  <c r="Q65" i="9"/>
  <c r="R65" i="9" s="1"/>
  <c r="G149" i="9"/>
  <c r="H22" i="9"/>
  <c r="E106" i="9"/>
  <c r="M106" i="9" s="1"/>
  <c r="O106" i="9" s="1"/>
  <c r="P106" i="9" s="1"/>
  <c r="E148" i="9"/>
  <c r="G63" i="9"/>
  <c r="H148" i="9" s="1"/>
  <c r="I148" i="9" s="1"/>
  <c r="J123" i="8"/>
  <c r="E77" i="8"/>
  <c r="I123" i="8"/>
  <c r="G37" i="8"/>
  <c r="K124" i="8"/>
  <c r="G146" i="8"/>
  <c r="H19" i="8"/>
  <c r="D87" i="7"/>
  <c r="F42" i="7"/>
  <c r="F20" i="7"/>
  <c r="E86" i="7"/>
  <c r="E64" i="7"/>
  <c r="L64" i="7" s="1"/>
  <c r="N64" i="7" s="1"/>
  <c r="O64" i="7" s="1"/>
  <c r="G41" i="7"/>
  <c r="H86" i="7" s="1"/>
  <c r="I86" i="7" s="1"/>
  <c r="H20" i="7"/>
  <c r="G87" i="7"/>
  <c r="D86" i="6"/>
  <c r="F41" i="6"/>
  <c r="F19" i="6"/>
  <c r="H20" i="6"/>
  <c r="G87" i="6"/>
  <c r="E85" i="6"/>
  <c r="E63" i="6"/>
  <c r="L63" i="6" s="1"/>
  <c r="N63" i="6" s="1"/>
  <c r="O63" i="6" s="1"/>
  <c r="G40" i="6"/>
  <c r="H85" i="6" s="1"/>
  <c r="I85" i="6" s="1"/>
  <c r="D86" i="5"/>
  <c r="F19" i="5"/>
  <c r="G40" i="5"/>
  <c r="H85" i="5" s="1"/>
  <c r="I85" i="5" s="1"/>
  <c r="E85" i="5"/>
  <c r="E63" i="5"/>
  <c r="L63" i="5" s="1"/>
  <c r="N63" i="5" s="1"/>
  <c r="O63" i="5" s="1"/>
  <c r="G87" i="5"/>
  <c r="H20" i="5"/>
  <c r="F111" i="10" l="1"/>
  <c r="I111" i="10" s="1"/>
  <c r="G25" i="10"/>
  <c r="J111" i="10"/>
  <c r="G147" i="10"/>
  <c r="H20" i="10"/>
  <c r="E146" i="10"/>
  <c r="E104" i="10"/>
  <c r="M104" i="10" s="1"/>
  <c r="O104" i="10" s="1"/>
  <c r="P104" i="10" s="1"/>
  <c r="G61" i="10"/>
  <c r="H146" i="10" s="1"/>
  <c r="I146" i="10" s="1"/>
  <c r="E26" i="10"/>
  <c r="D26" i="10" s="1"/>
  <c r="K69" i="10"/>
  <c r="L69" i="10" s="1"/>
  <c r="O71" i="10"/>
  <c r="P70" i="10"/>
  <c r="Q70" i="10" s="1"/>
  <c r="R70" i="10" s="1"/>
  <c r="D70" i="10" s="1"/>
  <c r="E69" i="10"/>
  <c r="F62" i="10"/>
  <c r="D147" i="10"/>
  <c r="F20" i="10"/>
  <c r="I146" i="8"/>
  <c r="F21" i="8"/>
  <c r="D149" i="8" s="1"/>
  <c r="F63" i="8"/>
  <c r="E106" i="8" s="1"/>
  <c r="M106" i="8" s="1"/>
  <c r="O106" i="8" s="1"/>
  <c r="P106" i="8" s="1"/>
  <c r="E147" i="8"/>
  <c r="E105" i="8"/>
  <c r="M105" i="8" s="1"/>
  <c r="O105" i="8" s="1"/>
  <c r="P105" i="8" s="1"/>
  <c r="G150" i="9"/>
  <c r="H23" i="9"/>
  <c r="O67" i="9"/>
  <c r="Q66" i="9"/>
  <c r="R66" i="9" s="1"/>
  <c r="F65" i="9"/>
  <c r="F23" i="9"/>
  <c r="D151" i="9" s="1"/>
  <c r="E107" i="9"/>
  <c r="M107" i="9" s="1"/>
  <c r="O107" i="9" s="1"/>
  <c r="P107" i="9" s="1"/>
  <c r="E149" i="9"/>
  <c r="G64" i="9"/>
  <c r="H149" i="9" s="1"/>
  <c r="I149" i="9" s="1"/>
  <c r="J124" i="8"/>
  <c r="E78" i="8"/>
  <c r="I124" i="8"/>
  <c r="G38" i="8"/>
  <c r="K125" i="8"/>
  <c r="H20" i="8"/>
  <c r="G147" i="8"/>
  <c r="I147" i="8" s="1"/>
  <c r="G88" i="7"/>
  <c r="H21" i="7"/>
  <c r="D88" i="7"/>
  <c r="F43" i="7"/>
  <c r="F21" i="7"/>
  <c r="G42" i="7"/>
  <c r="H87" i="7" s="1"/>
  <c r="I87" i="7" s="1"/>
  <c r="E65" i="7"/>
  <c r="L65" i="7" s="1"/>
  <c r="N65" i="7" s="1"/>
  <c r="O65" i="7" s="1"/>
  <c r="E87" i="7"/>
  <c r="G88" i="6"/>
  <c r="H21" i="6"/>
  <c r="D87" i="6"/>
  <c r="F42" i="6"/>
  <c r="F20" i="6"/>
  <c r="E86" i="6"/>
  <c r="E64" i="6"/>
  <c r="L64" i="6" s="1"/>
  <c r="N64" i="6" s="1"/>
  <c r="O64" i="6" s="1"/>
  <c r="G41" i="6"/>
  <c r="H86" i="6" s="1"/>
  <c r="I86" i="6" s="1"/>
  <c r="E86" i="5"/>
  <c r="G41" i="5"/>
  <c r="H86" i="5" s="1"/>
  <c r="I86" i="5" s="1"/>
  <c r="E64" i="5"/>
  <c r="L64" i="5" s="1"/>
  <c r="N64" i="5" s="1"/>
  <c r="O64" i="5" s="1"/>
  <c r="D87" i="5"/>
  <c r="F20" i="5"/>
  <c r="H21" i="5"/>
  <c r="G88" i="5"/>
  <c r="J112" i="10" l="1"/>
  <c r="F112" i="10"/>
  <c r="I112" i="10" s="1"/>
  <c r="J113" i="10" s="1"/>
  <c r="G26" i="10"/>
  <c r="E70" i="10"/>
  <c r="O72" i="10"/>
  <c r="P71" i="10"/>
  <c r="Q71" i="10" s="1"/>
  <c r="R71" i="10" s="1"/>
  <c r="D71" i="10" s="1"/>
  <c r="G148" i="10"/>
  <c r="H21" i="10"/>
  <c r="K70" i="10"/>
  <c r="L70" i="10" s="1"/>
  <c r="E27" i="10"/>
  <c r="D27" i="10" s="1"/>
  <c r="D148" i="10"/>
  <c r="F63" i="10"/>
  <c r="F21" i="10"/>
  <c r="E105" i="10"/>
  <c r="M105" i="10" s="1"/>
  <c r="O105" i="10" s="1"/>
  <c r="P105" i="10" s="1"/>
  <c r="E147" i="10"/>
  <c r="G62" i="10"/>
  <c r="H147" i="10" s="1"/>
  <c r="I147" i="10" s="1"/>
  <c r="E148" i="8"/>
  <c r="G63" i="8"/>
  <c r="H148" i="8" s="1"/>
  <c r="F22" i="8"/>
  <c r="F23" i="8" s="1"/>
  <c r="F64" i="8"/>
  <c r="F66" i="9"/>
  <c r="F24" i="9"/>
  <c r="D152" i="9" s="1"/>
  <c r="H24" i="9"/>
  <c r="G151" i="9"/>
  <c r="O68" i="9"/>
  <c r="Q67" i="9"/>
  <c r="R67" i="9" s="1"/>
  <c r="E108" i="9"/>
  <c r="M108" i="9" s="1"/>
  <c r="O108" i="9" s="1"/>
  <c r="P108" i="9" s="1"/>
  <c r="E150" i="9"/>
  <c r="G65" i="9"/>
  <c r="H150" i="9" s="1"/>
  <c r="I150" i="9" s="1"/>
  <c r="J125" i="8"/>
  <c r="E79" i="8"/>
  <c r="I125" i="8"/>
  <c r="K126" i="8"/>
  <c r="G39" i="8"/>
  <c r="E107" i="8"/>
  <c r="M107" i="8" s="1"/>
  <c r="O107" i="8" s="1"/>
  <c r="P107" i="8" s="1"/>
  <c r="E149" i="8"/>
  <c r="G64" i="8"/>
  <c r="H149" i="8" s="1"/>
  <c r="G148" i="8"/>
  <c r="I148" i="8" s="1"/>
  <c r="H21" i="8"/>
  <c r="G43" i="7"/>
  <c r="H88" i="7" s="1"/>
  <c r="I88" i="7" s="1"/>
  <c r="E88" i="7"/>
  <c r="E66" i="7"/>
  <c r="L66" i="7" s="1"/>
  <c r="N66" i="7" s="1"/>
  <c r="O66" i="7" s="1"/>
  <c r="H22" i="7"/>
  <c r="G89" i="7"/>
  <c r="F44" i="7"/>
  <c r="D89" i="7"/>
  <c r="F22" i="7"/>
  <c r="F43" i="6"/>
  <c r="D88" i="6"/>
  <c r="F21" i="6"/>
  <c r="G42" i="6"/>
  <c r="H87" i="6" s="1"/>
  <c r="I87" i="6" s="1"/>
  <c r="E65" i="6"/>
  <c r="L65" i="6" s="1"/>
  <c r="N65" i="6" s="1"/>
  <c r="O65" i="6" s="1"/>
  <c r="E87" i="6"/>
  <c r="H22" i="6"/>
  <c r="G89" i="6"/>
  <c r="H22" i="5"/>
  <c r="G89" i="5"/>
  <c r="E87" i="5"/>
  <c r="E65" i="5"/>
  <c r="L65" i="5" s="1"/>
  <c r="N65" i="5" s="1"/>
  <c r="O65" i="5" s="1"/>
  <c r="G42" i="5"/>
  <c r="H87" i="5" s="1"/>
  <c r="I87" i="5" s="1"/>
  <c r="D88" i="5"/>
  <c r="F21" i="5"/>
  <c r="F113" i="10" l="1"/>
  <c r="I113" i="10" s="1"/>
  <c r="J114" i="10" s="1"/>
  <c r="G27" i="10"/>
  <c r="E28" i="10"/>
  <c r="D28" i="10" s="1"/>
  <c r="K71" i="10"/>
  <c r="L71" i="10" s="1"/>
  <c r="O73" i="10"/>
  <c r="P72" i="10"/>
  <c r="Q72" i="10" s="1"/>
  <c r="R72" i="10" s="1"/>
  <c r="D72" i="10" s="1"/>
  <c r="E148" i="10"/>
  <c r="E106" i="10"/>
  <c r="M106" i="10" s="1"/>
  <c r="O106" i="10" s="1"/>
  <c r="P106" i="10" s="1"/>
  <c r="G63" i="10"/>
  <c r="H148" i="10" s="1"/>
  <c r="I148" i="10" s="1"/>
  <c r="E71" i="10"/>
  <c r="E72" i="10" s="1"/>
  <c r="D149" i="10"/>
  <c r="F64" i="10"/>
  <c r="F22" i="10"/>
  <c r="G149" i="10"/>
  <c r="H22" i="10"/>
  <c r="F65" i="8"/>
  <c r="E108" i="8" s="1"/>
  <c r="M108" i="8" s="1"/>
  <c r="O108" i="8" s="1"/>
  <c r="P108" i="8" s="1"/>
  <c r="D150" i="8"/>
  <c r="F24" i="8"/>
  <c r="D151" i="8"/>
  <c r="O69" i="9"/>
  <c r="Q68" i="9"/>
  <c r="R68" i="9" s="1"/>
  <c r="G152" i="9"/>
  <c r="H25" i="9"/>
  <c r="F25" i="9"/>
  <c r="D153" i="9" s="1"/>
  <c r="F67" i="9"/>
  <c r="E151" i="9"/>
  <c r="E109" i="9"/>
  <c r="M109" i="9" s="1"/>
  <c r="O109" i="9" s="1"/>
  <c r="P109" i="9" s="1"/>
  <c r="G66" i="9"/>
  <c r="H151" i="9" s="1"/>
  <c r="I151" i="9" s="1"/>
  <c r="J126" i="8"/>
  <c r="E80" i="8"/>
  <c r="I126" i="8"/>
  <c r="K127" i="8"/>
  <c r="G40" i="8"/>
  <c r="H22" i="8"/>
  <c r="G149" i="8"/>
  <c r="I149" i="8" s="1"/>
  <c r="F66" i="8"/>
  <c r="E67" i="7"/>
  <c r="L67" i="7" s="1"/>
  <c r="N67" i="7" s="1"/>
  <c r="O67" i="7" s="1"/>
  <c r="E89" i="7"/>
  <c r="G44" i="7"/>
  <c r="H89" i="7" s="1"/>
  <c r="D90" i="7"/>
  <c r="F45" i="7"/>
  <c r="F23" i="7"/>
  <c r="I89" i="7"/>
  <c r="G90" i="7"/>
  <c r="H23" i="7"/>
  <c r="G91" i="7" s="1"/>
  <c r="H23" i="6"/>
  <c r="G91" i="6" s="1"/>
  <c r="G90" i="6"/>
  <c r="F44" i="6"/>
  <c r="F22" i="6"/>
  <c r="D89" i="6"/>
  <c r="G43" i="6"/>
  <c r="H88" i="6" s="1"/>
  <c r="I88" i="6" s="1"/>
  <c r="E88" i="6"/>
  <c r="E66" i="6"/>
  <c r="L66" i="6" s="1"/>
  <c r="N66" i="6" s="1"/>
  <c r="O66" i="6" s="1"/>
  <c r="D89" i="5"/>
  <c r="F22" i="5"/>
  <c r="E88" i="5"/>
  <c r="E66" i="5"/>
  <c r="L66" i="5" s="1"/>
  <c r="N66" i="5" s="1"/>
  <c r="O66" i="5" s="1"/>
  <c r="G43" i="5"/>
  <c r="H88" i="5" s="1"/>
  <c r="I88" i="5" s="1"/>
  <c r="G90" i="5"/>
  <c r="H23" i="5"/>
  <c r="G91" i="5" s="1"/>
  <c r="F114" i="10" l="1"/>
  <c r="I114" i="10" s="1"/>
  <c r="J115" i="10" s="1"/>
  <c r="G28" i="10"/>
  <c r="O74" i="10"/>
  <c r="P73" i="10"/>
  <c r="Q73" i="10" s="1"/>
  <c r="R73" i="10" s="1"/>
  <c r="D73" i="10" s="1"/>
  <c r="E73" i="10" s="1"/>
  <c r="G150" i="10"/>
  <c r="H23" i="10"/>
  <c r="F65" i="10"/>
  <c r="D150" i="10"/>
  <c r="F23" i="10"/>
  <c r="E107" i="10"/>
  <c r="M107" i="10" s="1"/>
  <c r="O107" i="10" s="1"/>
  <c r="P107" i="10" s="1"/>
  <c r="G64" i="10"/>
  <c r="H149" i="10" s="1"/>
  <c r="I149" i="10" s="1"/>
  <c r="E149" i="10"/>
  <c r="E29" i="10"/>
  <c r="D29" i="10"/>
  <c r="K72" i="10"/>
  <c r="L72" i="10" s="1"/>
  <c r="E150" i="8"/>
  <c r="G65" i="8"/>
  <c r="H150" i="8" s="1"/>
  <c r="D152" i="8"/>
  <c r="F67" i="8"/>
  <c r="F25" i="8"/>
  <c r="E110" i="9"/>
  <c r="E152" i="9"/>
  <c r="G67" i="9"/>
  <c r="H152" i="9" s="1"/>
  <c r="I152" i="9" s="1"/>
  <c r="G153" i="9"/>
  <c r="H26" i="9"/>
  <c r="F26" i="9"/>
  <c r="D154" i="9" s="1"/>
  <c r="F68" i="9"/>
  <c r="O70" i="9"/>
  <c r="Q69" i="9"/>
  <c r="R69" i="9" s="1"/>
  <c r="J127" i="8"/>
  <c r="E81" i="8"/>
  <c r="I127" i="8"/>
  <c r="K128" i="8"/>
  <c r="G41" i="8"/>
  <c r="E151" i="8"/>
  <c r="G66" i="8"/>
  <c r="H151" i="8" s="1"/>
  <c r="E109" i="8"/>
  <c r="M109" i="8" s="1"/>
  <c r="O109" i="8" s="1"/>
  <c r="P109" i="8" s="1"/>
  <c r="G150" i="8"/>
  <c r="H23" i="8"/>
  <c r="D91" i="7"/>
  <c r="F46" i="7"/>
  <c r="E90" i="7"/>
  <c r="E68" i="7"/>
  <c r="L68" i="7" s="1"/>
  <c r="N68" i="7" s="1"/>
  <c r="O68" i="7" s="1"/>
  <c r="G45" i="7"/>
  <c r="H90" i="7" s="1"/>
  <c r="I90" i="7" s="1"/>
  <c r="D90" i="6"/>
  <c r="F45" i="6"/>
  <c r="F23" i="6"/>
  <c r="G44" i="6"/>
  <c r="H89" i="6" s="1"/>
  <c r="I89" i="6" s="1"/>
  <c r="E67" i="6"/>
  <c r="L67" i="6" s="1"/>
  <c r="N67" i="6" s="1"/>
  <c r="O67" i="6" s="1"/>
  <c r="E89" i="6"/>
  <c r="F23" i="5"/>
  <c r="G44" i="5"/>
  <c r="H89" i="5" s="1"/>
  <c r="I89" i="5" s="1"/>
  <c r="E67" i="5"/>
  <c r="L67" i="5" s="1"/>
  <c r="N67" i="5" s="1"/>
  <c r="O67" i="5" s="1"/>
  <c r="E89" i="5"/>
  <c r="D90" i="5"/>
  <c r="G151" i="10" l="1"/>
  <c r="H24" i="10"/>
  <c r="O75" i="10"/>
  <c r="P74" i="10"/>
  <c r="Q74" i="10" s="1"/>
  <c r="R74" i="10" s="1"/>
  <c r="D74" i="10" s="1"/>
  <c r="E74" i="10" s="1"/>
  <c r="D151" i="10"/>
  <c r="F66" i="10"/>
  <c r="F24" i="10"/>
  <c r="E108" i="10"/>
  <c r="M108" i="10" s="1"/>
  <c r="O108" i="10" s="1"/>
  <c r="P108" i="10" s="1"/>
  <c r="E150" i="10"/>
  <c r="G65" i="10"/>
  <c r="H150" i="10" s="1"/>
  <c r="I150" i="10" s="1"/>
  <c r="F115" i="10"/>
  <c r="I115" i="10" s="1"/>
  <c r="J116" i="10" s="1"/>
  <c r="G29" i="10"/>
  <c r="E30" i="10"/>
  <c r="D30" i="10"/>
  <c r="K73" i="10"/>
  <c r="L73" i="10" s="1"/>
  <c r="I150" i="8"/>
  <c r="D153" i="8"/>
  <c r="F68" i="8"/>
  <c r="F26" i="8"/>
  <c r="E110" i="8"/>
  <c r="E152" i="8"/>
  <c r="G67" i="8"/>
  <c r="H152" i="8" s="1"/>
  <c r="G154" i="9"/>
  <c r="H27" i="9"/>
  <c r="E111" i="9"/>
  <c r="E153" i="9"/>
  <c r="G68" i="9"/>
  <c r="H153" i="9" s="1"/>
  <c r="I153" i="9" s="1"/>
  <c r="F27" i="9"/>
  <c r="D155" i="9" s="1"/>
  <c r="F69" i="9"/>
  <c r="O71" i="9"/>
  <c r="Q70" i="9"/>
  <c r="R70" i="9" s="1"/>
  <c r="J128" i="8"/>
  <c r="E82" i="8"/>
  <c r="I128" i="8"/>
  <c r="G151" i="8"/>
  <c r="I151" i="8" s="1"/>
  <c r="H24" i="8"/>
  <c r="K129" i="8"/>
  <c r="G42" i="8"/>
  <c r="G46" i="7"/>
  <c r="H91" i="7" s="1"/>
  <c r="I91" i="7" s="1"/>
  <c r="E91" i="7"/>
  <c r="E69" i="7"/>
  <c r="L69" i="7" s="1"/>
  <c r="N69" i="7" s="1"/>
  <c r="O69" i="7" s="1"/>
  <c r="E90" i="6"/>
  <c r="E68" i="6"/>
  <c r="L68" i="6" s="1"/>
  <c r="N68" i="6" s="1"/>
  <c r="O68" i="6" s="1"/>
  <c r="G45" i="6"/>
  <c r="H90" i="6" s="1"/>
  <c r="I90" i="6" s="1"/>
  <c r="D91" i="6"/>
  <c r="F46" i="6"/>
  <c r="D91" i="5"/>
  <c r="E90" i="5"/>
  <c r="G45" i="5"/>
  <c r="H90" i="5" s="1"/>
  <c r="I90" i="5" s="1"/>
  <c r="E68" i="5"/>
  <c r="L68" i="5" s="1"/>
  <c r="N68" i="5" s="1"/>
  <c r="O68" i="5" s="1"/>
  <c r="O76" i="10" l="1"/>
  <c r="P75" i="10"/>
  <c r="Q75" i="10" s="1"/>
  <c r="R75" i="10" s="1"/>
  <c r="D75" i="10" s="1"/>
  <c r="E75" i="10" s="1"/>
  <c r="G152" i="10"/>
  <c r="H25" i="10"/>
  <c r="D152" i="10"/>
  <c r="F67" i="10"/>
  <c r="F25" i="10"/>
  <c r="E151" i="10"/>
  <c r="E109" i="10"/>
  <c r="M109" i="10" s="1"/>
  <c r="O109" i="10" s="1"/>
  <c r="P109" i="10" s="1"/>
  <c r="G66" i="10"/>
  <c r="H151" i="10" s="1"/>
  <c r="I151" i="10" s="1"/>
  <c r="K74" i="10"/>
  <c r="L74" i="10" s="1"/>
  <c r="E31" i="10"/>
  <c r="D31" i="10" s="1"/>
  <c r="G30" i="10"/>
  <c r="F116" i="10"/>
  <c r="I116" i="10" s="1"/>
  <c r="J117" i="10" s="1"/>
  <c r="J129" i="8"/>
  <c r="D154" i="8"/>
  <c r="F69" i="8"/>
  <c r="F27" i="8"/>
  <c r="G68" i="8"/>
  <c r="H153" i="8" s="1"/>
  <c r="E111" i="8"/>
  <c r="E153" i="8"/>
  <c r="E112" i="9"/>
  <c r="G69" i="9"/>
  <c r="H154" i="9" s="1"/>
  <c r="I154" i="9" s="1"/>
  <c r="E154" i="9"/>
  <c r="F28" i="9"/>
  <c r="D156" i="9" s="1"/>
  <c r="F70" i="9"/>
  <c r="O72" i="9"/>
  <c r="Q71" i="9"/>
  <c r="R71" i="9" s="1"/>
  <c r="H28" i="9"/>
  <c r="G155" i="9"/>
  <c r="E83" i="8"/>
  <c r="G43" i="8"/>
  <c r="I129" i="8"/>
  <c r="G152" i="8"/>
  <c r="I152" i="8" s="1"/>
  <c r="H25" i="8"/>
  <c r="E91" i="6"/>
  <c r="G46" i="6"/>
  <c r="H91" i="6" s="1"/>
  <c r="I91" i="6" s="1"/>
  <c r="E69" i="6"/>
  <c r="L69" i="6" s="1"/>
  <c r="N69" i="6" s="1"/>
  <c r="O69" i="6" s="1"/>
  <c r="E91" i="5"/>
  <c r="E69" i="5"/>
  <c r="L69" i="5" s="1"/>
  <c r="N69" i="5" s="1"/>
  <c r="O69" i="5" s="1"/>
  <c r="G46" i="5"/>
  <c r="H91" i="5" s="1"/>
  <c r="I91" i="5" s="1"/>
  <c r="G153" i="10" l="1"/>
  <c r="H26" i="10"/>
  <c r="G31" i="10"/>
  <c r="F117" i="10"/>
  <c r="I117" i="10" s="1"/>
  <c r="J118" i="10" s="1"/>
  <c r="D153" i="10"/>
  <c r="F68" i="10"/>
  <c r="F26" i="10"/>
  <c r="E32" i="10"/>
  <c r="D32" i="10" s="1"/>
  <c r="K75" i="10"/>
  <c r="L75" i="10" s="1"/>
  <c r="O77" i="10"/>
  <c r="P76" i="10"/>
  <c r="Q76" i="10" s="1"/>
  <c r="R76" i="10" s="1"/>
  <c r="D76" i="10" s="1"/>
  <c r="E76" i="10" s="1"/>
  <c r="E110" i="10"/>
  <c r="E152" i="10"/>
  <c r="G67" i="10"/>
  <c r="H152" i="10" s="1"/>
  <c r="I152" i="10" s="1"/>
  <c r="E154" i="8"/>
  <c r="E112" i="8"/>
  <c r="G69" i="8"/>
  <c r="H154" i="8" s="1"/>
  <c r="D155" i="8"/>
  <c r="F28" i="8"/>
  <c r="F70" i="8"/>
  <c r="O73" i="9"/>
  <c r="Q72" i="9"/>
  <c r="R72" i="9" s="1"/>
  <c r="E155" i="9"/>
  <c r="G70" i="9"/>
  <c r="H155" i="9" s="1"/>
  <c r="I155" i="9" s="1"/>
  <c r="E113" i="9"/>
  <c r="F29" i="9"/>
  <c r="D157" i="9" s="1"/>
  <c r="F71" i="9"/>
  <c r="G156" i="9"/>
  <c r="H29" i="9"/>
  <c r="E84" i="8"/>
  <c r="H26" i="8"/>
  <c r="G153" i="8"/>
  <c r="I153" i="8" s="1"/>
  <c r="D154" i="10" l="1"/>
  <c r="F69" i="10"/>
  <c r="F27" i="10"/>
  <c r="E153" i="10"/>
  <c r="E111" i="10"/>
  <c r="G68" i="10"/>
  <c r="H153" i="10" s="1"/>
  <c r="I153" i="10" s="1"/>
  <c r="G154" i="10"/>
  <c r="H27" i="10"/>
  <c r="O78" i="10"/>
  <c r="P77" i="10"/>
  <c r="Q77" i="10" s="1"/>
  <c r="R77" i="10" s="1"/>
  <c r="D77" i="10" s="1"/>
  <c r="E77" i="10" s="1"/>
  <c r="F118" i="10"/>
  <c r="I118" i="10" s="1"/>
  <c r="J119" i="10" s="1"/>
  <c r="G32" i="10"/>
  <c r="E33" i="10"/>
  <c r="D33" i="10" s="1"/>
  <c r="K76" i="10"/>
  <c r="L76" i="10" s="1"/>
  <c r="D156" i="8"/>
  <c r="F29" i="8"/>
  <c r="F71" i="8"/>
  <c r="E155" i="8"/>
  <c r="E113" i="8"/>
  <c r="G70" i="8"/>
  <c r="H155" i="8" s="1"/>
  <c r="F30" i="9"/>
  <c r="D158" i="9" s="1"/>
  <c r="F72" i="9"/>
  <c r="G157" i="9"/>
  <c r="H30" i="9"/>
  <c r="E114" i="9"/>
  <c r="E156" i="9"/>
  <c r="G71" i="9"/>
  <c r="H156" i="9" s="1"/>
  <c r="I156" i="9" s="1"/>
  <c r="O74" i="9"/>
  <c r="Q73" i="9"/>
  <c r="R73" i="9" s="1"/>
  <c r="E85" i="8"/>
  <c r="H27" i="8"/>
  <c r="G154" i="8"/>
  <c r="I154" i="8" s="1"/>
  <c r="F119" i="10" l="1"/>
  <c r="I119" i="10" s="1"/>
  <c r="G33" i="10"/>
  <c r="J120" i="10"/>
  <c r="D155" i="10"/>
  <c r="F70" i="10"/>
  <c r="F28" i="10"/>
  <c r="G155" i="10"/>
  <c r="H28" i="10"/>
  <c r="E154" i="10"/>
  <c r="G69" i="10"/>
  <c r="H154" i="10" s="1"/>
  <c r="E112" i="10"/>
  <c r="I154" i="10"/>
  <c r="E34" i="10"/>
  <c r="D34" i="10" s="1"/>
  <c r="K77" i="10"/>
  <c r="L77" i="10" s="1"/>
  <c r="O79" i="10"/>
  <c r="P78" i="10"/>
  <c r="Q78" i="10" s="1"/>
  <c r="R78" i="10" s="1"/>
  <c r="D78" i="10" s="1"/>
  <c r="E78" i="10" s="1"/>
  <c r="E114" i="8"/>
  <c r="E156" i="8"/>
  <c r="G71" i="8"/>
  <c r="H156" i="8" s="1"/>
  <c r="D157" i="8"/>
  <c r="F30" i="8"/>
  <c r="F72" i="8"/>
  <c r="G158" i="9"/>
  <c r="H31" i="9"/>
  <c r="E115" i="9"/>
  <c r="G72" i="9"/>
  <c r="H157" i="9" s="1"/>
  <c r="I157" i="9" s="1"/>
  <c r="E157" i="9"/>
  <c r="O75" i="9"/>
  <c r="Q74" i="9"/>
  <c r="R74" i="9" s="1"/>
  <c r="F31" i="9"/>
  <c r="D159" i="9" s="1"/>
  <c r="F73" i="9"/>
  <c r="E86" i="8"/>
  <c r="G155" i="8"/>
  <c r="I155" i="8" s="1"/>
  <c r="H28" i="8"/>
  <c r="F120" i="10" l="1"/>
  <c r="I120" i="10" s="1"/>
  <c r="G34" i="10"/>
  <c r="E155" i="10"/>
  <c r="G70" i="10"/>
  <c r="H155" i="10" s="1"/>
  <c r="I155" i="10" s="1"/>
  <c r="E113" i="10"/>
  <c r="L78" i="10"/>
  <c r="J121" i="10"/>
  <c r="O80" i="10"/>
  <c r="P79" i="10"/>
  <c r="Q79" i="10" s="1"/>
  <c r="R79" i="10" s="1"/>
  <c r="D79" i="10" s="1"/>
  <c r="E79" i="10" s="1"/>
  <c r="K78" i="10"/>
  <c r="E35" i="10"/>
  <c r="D35" i="10" s="1"/>
  <c r="G156" i="10"/>
  <c r="H29" i="10"/>
  <c r="D156" i="10"/>
  <c r="F71" i="10"/>
  <c r="F29" i="10"/>
  <c r="G72" i="8"/>
  <c r="H157" i="8" s="1"/>
  <c r="E157" i="8"/>
  <c r="E115" i="8"/>
  <c r="D158" i="8"/>
  <c r="F31" i="8"/>
  <c r="F74" i="8" s="1"/>
  <c r="G74" i="8" s="1"/>
  <c r="F73" i="8"/>
  <c r="F32" i="9"/>
  <c r="D160" i="9" s="1"/>
  <c r="F74" i="9"/>
  <c r="O76" i="9"/>
  <c r="Q75" i="9"/>
  <c r="R75" i="9" s="1"/>
  <c r="G73" i="9"/>
  <c r="H158" i="9" s="1"/>
  <c r="I158" i="9" s="1"/>
  <c r="E116" i="9"/>
  <c r="E158" i="9"/>
  <c r="G159" i="9"/>
  <c r="H32" i="9"/>
  <c r="G156" i="8"/>
  <c r="I156" i="8" s="1"/>
  <c r="H29" i="8"/>
  <c r="F121" i="10" l="1"/>
  <c r="I121" i="10" s="1"/>
  <c r="G35" i="10"/>
  <c r="D157" i="10"/>
  <c r="F72" i="10"/>
  <c r="F30" i="10"/>
  <c r="E114" i="10"/>
  <c r="E156" i="10"/>
  <c r="G71" i="10"/>
  <c r="H156" i="10" s="1"/>
  <c r="I156" i="10" s="1"/>
  <c r="K79" i="10"/>
  <c r="L79" i="10" s="1"/>
  <c r="E36" i="10"/>
  <c r="D36" i="10" s="1"/>
  <c r="O81" i="10"/>
  <c r="P80" i="10"/>
  <c r="Q80" i="10" s="1"/>
  <c r="R80" i="10" s="1"/>
  <c r="D80" i="10" s="1"/>
  <c r="E80" i="10" s="1"/>
  <c r="G157" i="10"/>
  <c r="H30" i="10"/>
  <c r="J122" i="10"/>
  <c r="E116" i="8"/>
  <c r="E158" i="8"/>
  <c r="G73" i="8"/>
  <c r="H158" i="8" s="1"/>
  <c r="D159" i="8"/>
  <c r="F32" i="8"/>
  <c r="F75" i="8" s="1"/>
  <c r="G75" i="8" s="1"/>
  <c r="O77" i="9"/>
  <c r="Q76" i="9"/>
  <c r="R76" i="9" s="1"/>
  <c r="E159" i="9"/>
  <c r="E117" i="9"/>
  <c r="G74" i="9"/>
  <c r="H159" i="9" s="1"/>
  <c r="I159" i="9" s="1"/>
  <c r="G160" i="9"/>
  <c r="H33" i="9"/>
  <c r="F33" i="9"/>
  <c r="D161" i="9" s="1"/>
  <c r="F75" i="9"/>
  <c r="G157" i="8"/>
  <c r="I157" i="8" s="1"/>
  <c r="H30" i="8"/>
  <c r="F122" i="10" l="1"/>
  <c r="I122" i="10" s="1"/>
  <c r="G36" i="10"/>
  <c r="J123" i="10"/>
  <c r="H31" i="10"/>
  <c r="G158" i="10"/>
  <c r="E157" i="10"/>
  <c r="E115" i="10"/>
  <c r="G72" i="10"/>
  <c r="H157" i="10" s="1"/>
  <c r="I157" i="10" s="1"/>
  <c r="O82" i="10"/>
  <c r="P81" i="10"/>
  <c r="Q81" i="10" s="1"/>
  <c r="R81" i="10" s="1"/>
  <c r="D81" i="10" s="1"/>
  <c r="E81" i="10" s="1"/>
  <c r="E37" i="10"/>
  <c r="D37" i="10"/>
  <c r="K80" i="10"/>
  <c r="L80" i="10" s="1"/>
  <c r="D158" i="10"/>
  <c r="F73" i="10"/>
  <c r="F31" i="10"/>
  <c r="D160" i="8"/>
  <c r="F33" i="8"/>
  <c r="F76" i="8" s="1"/>
  <c r="G76" i="8" s="1"/>
  <c r="E117" i="8"/>
  <c r="H159" i="8"/>
  <c r="E159" i="8"/>
  <c r="G161" i="9"/>
  <c r="H34" i="9"/>
  <c r="E118" i="9"/>
  <c r="E160" i="9"/>
  <c r="G75" i="9"/>
  <c r="H160" i="9" s="1"/>
  <c r="I160" i="9" s="1"/>
  <c r="F34" i="9"/>
  <c r="D162" i="9" s="1"/>
  <c r="F76" i="9"/>
  <c r="O78" i="9"/>
  <c r="Q77" i="9"/>
  <c r="R77" i="9" s="1"/>
  <c r="G158" i="8"/>
  <c r="I158" i="8" s="1"/>
  <c r="H31" i="8"/>
  <c r="G159" i="10" l="1"/>
  <c r="H32" i="10"/>
  <c r="F123" i="10"/>
  <c r="I123" i="10" s="1"/>
  <c r="G37" i="10"/>
  <c r="J124" i="10"/>
  <c r="L81" i="10"/>
  <c r="E116" i="10"/>
  <c r="G73" i="10"/>
  <c r="H158" i="10" s="1"/>
  <c r="I158" i="10" s="1"/>
  <c r="E158" i="10"/>
  <c r="E38" i="10"/>
  <c r="D38" i="10"/>
  <c r="K81" i="10"/>
  <c r="O83" i="10"/>
  <c r="P82" i="10"/>
  <c r="Q82" i="10" s="1"/>
  <c r="R82" i="10" s="1"/>
  <c r="D82" i="10" s="1"/>
  <c r="D159" i="10"/>
  <c r="F74" i="10"/>
  <c r="F32" i="10"/>
  <c r="D161" i="8"/>
  <c r="F34" i="8"/>
  <c r="F77" i="8" s="1"/>
  <c r="G77" i="8" s="1"/>
  <c r="E118" i="8"/>
  <c r="H160" i="8"/>
  <c r="E160" i="8"/>
  <c r="F35" i="9"/>
  <c r="D163" i="9" s="1"/>
  <c r="F77" i="9"/>
  <c r="O79" i="9"/>
  <c r="Q78" i="9"/>
  <c r="R78" i="9" s="1"/>
  <c r="G162" i="9"/>
  <c r="H35" i="9"/>
  <c r="E119" i="9"/>
  <c r="G76" i="9"/>
  <c r="H161" i="9" s="1"/>
  <c r="I161" i="9" s="1"/>
  <c r="E161" i="9"/>
  <c r="G159" i="8"/>
  <c r="I159" i="8" s="1"/>
  <c r="H32" i="8"/>
  <c r="E39" i="10" l="1"/>
  <c r="D39" i="10" s="1"/>
  <c r="K82" i="10"/>
  <c r="L82" i="10" s="1"/>
  <c r="G160" i="10"/>
  <c r="H33" i="10"/>
  <c r="O84" i="10"/>
  <c r="P83" i="10"/>
  <c r="Q83" i="10" s="1"/>
  <c r="R83" i="10" s="1"/>
  <c r="D83" i="10" s="1"/>
  <c r="E159" i="10"/>
  <c r="G74" i="10"/>
  <c r="H159" i="10" s="1"/>
  <c r="I159" i="10" s="1"/>
  <c r="E117" i="10"/>
  <c r="G38" i="10"/>
  <c r="F124" i="10"/>
  <c r="I124" i="10" s="1"/>
  <c r="J125" i="10" s="1"/>
  <c r="D160" i="10"/>
  <c r="F75" i="10"/>
  <c r="F33" i="10"/>
  <c r="E82" i="10"/>
  <c r="D162" i="8"/>
  <c r="F35" i="8"/>
  <c r="F78" i="8" s="1"/>
  <c r="G78" i="8" s="1"/>
  <c r="E119" i="8"/>
  <c r="E161" i="8"/>
  <c r="H161" i="8"/>
  <c r="G163" i="9"/>
  <c r="H36" i="9"/>
  <c r="O80" i="9"/>
  <c r="Q79" i="9"/>
  <c r="R79" i="9" s="1"/>
  <c r="G77" i="9"/>
  <c r="H162" i="9" s="1"/>
  <c r="I162" i="9" s="1"/>
  <c r="E120" i="9"/>
  <c r="E162" i="9"/>
  <c r="F36" i="9"/>
  <c r="D164" i="9" s="1"/>
  <c r="F78" i="9"/>
  <c r="G160" i="8"/>
  <c r="I160" i="8" s="1"/>
  <c r="H33" i="8"/>
  <c r="F125" i="10" l="1"/>
  <c r="I125" i="10" s="1"/>
  <c r="J126" i="10" s="1"/>
  <c r="G39" i="10"/>
  <c r="D161" i="10"/>
  <c r="F76" i="10"/>
  <c r="F34" i="10"/>
  <c r="O85" i="10"/>
  <c r="P84" i="10"/>
  <c r="Q84" i="10" s="1"/>
  <c r="R84" i="10" s="1"/>
  <c r="D84" i="10" s="1"/>
  <c r="E40" i="10"/>
  <c r="D40" i="10" s="1"/>
  <c r="K83" i="10"/>
  <c r="L83" i="10" s="1"/>
  <c r="G161" i="10"/>
  <c r="H34" i="10"/>
  <c r="E83" i="10"/>
  <c r="E118" i="10"/>
  <c r="G75" i="10"/>
  <c r="H160" i="10" s="1"/>
  <c r="I160" i="10" s="1"/>
  <c r="E160" i="10"/>
  <c r="D163" i="8"/>
  <c r="F36" i="8"/>
  <c r="F79" i="8" s="1"/>
  <c r="G79" i="8" s="1"/>
  <c r="E162" i="8"/>
  <c r="E120" i="8"/>
  <c r="H162" i="8"/>
  <c r="O81" i="9"/>
  <c r="Q80" i="9"/>
  <c r="R80" i="9" s="1"/>
  <c r="E163" i="9"/>
  <c r="E121" i="9"/>
  <c r="G78" i="9"/>
  <c r="H163" i="9" s="1"/>
  <c r="I163" i="9" s="1"/>
  <c r="G164" i="9"/>
  <c r="H37" i="9"/>
  <c r="F37" i="9"/>
  <c r="D165" i="9" s="1"/>
  <c r="F79" i="9"/>
  <c r="G161" i="8"/>
  <c r="I161" i="8" s="1"/>
  <c r="H34" i="8"/>
  <c r="F126" i="10" l="1"/>
  <c r="I126" i="10" s="1"/>
  <c r="J127" i="10" s="1"/>
  <c r="G40" i="10"/>
  <c r="G162" i="10"/>
  <c r="H35" i="10"/>
  <c r="K84" i="10"/>
  <c r="L84" i="10" s="1"/>
  <c r="E41" i="10"/>
  <c r="D41" i="10" s="1"/>
  <c r="O86" i="10"/>
  <c r="P86" i="10" s="1"/>
  <c r="Q86" i="10" s="1"/>
  <c r="R86" i="10" s="1"/>
  <c r="D86" i="10" s="1"/>
  <c r="P85" i="10"/>
  <c r="Q85" i="10" s="1"/>
  <c r="R85" i="10" s="1"/>
  <c r="D85" i="10" s="1"/>
  <c r="E161" i="10"/>
  <c r="G76" i="10"/>
  <c r="H161" i="10" s="1"/>
  <c r="I161" i="10" s="1"/>
  <c r="E119" i="10"/>
  <c r="E84" i="10"/>
  <c r="D162" i="10"/>
  <c r="F77" i="10"/>
  <c r="F35" i="10"/>
  <c r="D164" i="8"/>
  <c r="F37" i="8"/>
  <c r="F80" i="8" s="1"/>
  <c r="G80" i="8" s="1"/>
  <c r="E163" i="8"/>
  <c r="E121" i="8"/>
  <c r="H163" i="8"/>
  <c r="G165" i="9"/>
  <c r="H38" i="9"/>
  <c r="E122" i="9"/>
  <c r="E164" i="9"/>
  <c r="G79" i="9"/>
  <c r="H164" i="9" s="1"/>
  <c r="I164" i="9" s="1"/>
  <c r="F38" i="9"/>
  <c r="D166" i="9" s="1"/>
  <c r="F80" i="9"/>
  <c r="O82" i="9"/>
  <c r="Q81" i="9"/>
  <c r="R81" i="9" s="1"/>
  <c r="G162" i="8"/>
  <c r="I162" i="8" s="1"/>
  <c r="H35" i="8"/>
  <c r="F127" i="10" l="1"/>
  <c r="I127" i="10" s="1"/>
  <c r="J128" i="10" s="1"/>
  <c r="G41" i="10"/>
  <c r="E43" i="10"/>
  <c r="D43" i="10" s="1"/>
  <c r="K86" i="10"/>
  <c r="G163" i="10"/>
  <c r="H36" i="10"/>
  <c r="E42" i="10"/>
  <c r="D42" i="10"/>
  <c r="K85" i="10"/>
  <c r="L85" i="10" s="1"/>
  <c r="D163" i="10"/>
  <c r="F78" i="10"/>
  <c r="F36" i="10"/>
  <c r="E120" i="10"/>
  <c r="E162" i="10"/>
  <c r="G77" i="10"/>
  <c r="H162" i="10" s="1"/>
  <c r="I162" i="10" s="1"/>
  <c r="E85" i="10"/>
  <c r="E86" i="10" s="1"/>
  <c r="D165" i="8"/>
  <c r="F38" i="8"/>
  <c r="F81" i="8" s="1"/>
  <c r="G81" i="8" s="1"/>
  <c r="E122" i="8"/>
  <c r="E164" i="8"/>
  <c r="H164" i="8"/>
  <c r="F39" i="9"/>
  <c r="D167" i="9" s="1"/>
  <c r="F81" i="9"/>
  <c r="O83" i="9"/>
  <c r="Q82" i="9"/>
  <c r="R82" i="9" s="1"/>
  <c r="G166" i="9"/>
  <c r="H39" i="9"/>
  <c r="E123" i="9"/>
  <c r="G80" i="9"/>
  <c r="H165" i="9" s="1"/>
  <c r="I165" i="9" s="1"/>
  <c r="E165" i="9"/>
  <c r="G163" i="8"/>
  <c r="I163" i="8" s="1"/>
  <c r="H36" i="8"/>
  <c r="L86" i="10" l="1"/>
  <c r="G43" i="10"/>
  <c r="F129" i="10"/>
  <c r="I129" i="10" s="1"/>
  <c r="E163" i="10"/>
  <c r="E121" i="10"/>
  <c r="G78" i="10"/>
  <c r="H163" i="10" s="1"/>
  <c r="I163" i="10" s="1"/>
  <c r="G164" i="10"/>
  <c r="H37" i="10"/>
  <c r="F128" i="10"/>
  <c r="I128" i="10" s="1"/>
  <c r="J129" i="10" s="1"/>
  <c r="G42" i="10"/>
  <c r="D164" i="10"/>
  <c r="F79" i="10"/>
  <c r="F37" i="10"/>
  <c r="D166" i="8"/>
  <c r="F39" i="8"/>
  <c r="F82" i="8" s="1"/>
  <c r="G82" i="8" s="1"/>
  <c r="E165" i="8"/>
  <c r="H165" i="8"/>
  <c r="E123" i="8"/>
  <c r="G81" i="9"/>
  <c r="H166" i="9" s="1"/>
  <c r="I166" i="9" s="1"/>
  <c r="E124" i="9"/>
  <c r="E166" i="9"/>
  <c r="H40" i="9"/>
  <c r="G167" i="9"/>
  <c r="O84" i="9"/>
  <c r="Q83" i="9"/>
  <c r="R83" i="9" s="1"/>
  <c r="F40" i="9"/>
  <c r="D168" i="9" s="1"/>
  <c r="F82" i="9"/>
  <c r="G164" i="8"/>
  <c r="I164" i="8" s="1"/>
  <c r="H37" i="8"/>
  <c r="E122" i="10" l="1"/>
  <c r="G79" i="10"/>
  <c r="H164" i="10" s="1"/>
  <c r="E164" i="10"/>
  <c r="D165" i="10"/>
  <c r="F80" i="10"/>
  <c r="F38" i="10"/>
  <c r="I164" i="10"/>
  <c r="G165" i="10"/>
  <c r="H38" i="10"/>
  <c r="D167" i="8"/>
  <c r="F40" i="8"/>
  <c r="F83" i="8" s="1"/>
  <c r="G83" i="8" s="1"/>
  <c r="E166" i="8"/>
  <c r="H166" i="8"/>
  <c r="E124" i="8"/>
  <c r="E167" i="9"/>
  <c r="G82" i="9"/>
  <c r="H167" i="9" s="1"/>
  <c r="I167" i="9" s="1"/>
  <c r="E125" i="9"/>
  <c r="F41" i="9"/>
  <c r="D169" i="9" s="1"/>
  <c r="F83" i="9"/>
  <c r="O85" i="9"/>
  <c r="Q84" i="9"/>
  <c r="R84" i="9" s="1"/>
  <c r="G168" i="9"/>
  <c r="H41" i="9"/>
  <c r="G165" i="8"/>
  <c r="I165" i="8" s="1"/>
  <c r="H38" i="8"/>
  <c r="D166" i="10" l="1"/>
  <c r="F81" i="10"/>
  <c r="F39" i="10"/>
  <c r="E165" i="10"/>
  <c r="E123" i="10"/>
  <c r="G80" i="10"/>
  <c r="H165" i="10" s="1"/>
  <c r="I165" i="10" s="1"/>
  <c r="H39" i="10"/>
  <c r="G166" i="10"/>
  <c r="D168" i="8"/>
  <c r="F41" i="8"/>
  <c r="F84" i="8" s="1"/>
  <c r="G84" i="8" s="1"/>
  <c r="E125" i="8"/>
  <c r="E167" i="8"/>
  <c r="H167" i="8"/>
  <c r="E126" i="9"/>
  <c r="E168" i="9"/>
  <c r="G83" i="9"/>
  <c r="H168" i="9" s="1"/>
  <c r="I168" i="9" s="1"/>
  <c r="O86" i="9"/>
  <c r="Q86" i="9" s="1"/>
  <c r="Q85" i="9"/>
  <c r="R85" i="9" s="1"/>
  <c r="F42" i="9"/>
  <c r="D170" i="9" s="1"/>
  <c r="F84" i="9"/>
  <c r="G169" i="9"/>
  <c r="H42" i="9"/>
  <c r="G166" i="8"/>
  <c r="I166" i="8" s="1"/>
  <c r="H39" i="8"/>
  <c r="G167" i="10" l="1"/>
  <c r="H40" i="10"/>
  <c r="D167" i="10"/>
  <c r="F82" i="10"/>
  <c r="F40" i="10"/>
  <c r="E166" i="10"/>
  <c r="E124" i="10"/>
  <c r="G81" i="10"/>
  <c r="H166" i="10" s="1"/>
  <c r="I166" i="10" s="1"/>
  <c r="R86" i="9"/>
  <c r="D169" i="8"/>
  <c r="F42" i="8"/>
  <c r="F85" i="8" s="1"/>
  <c r="G85" i="8" s="1"/>
  <c r="E126" i="8"/>
  <c r="E168" i="8"/>
  <c r="H168" i="8"/>
  <c r="E169" i="9"/>
  <c r="E127" i="9"/>
  <c r="G84" i="9"/>
  <c r="H169" i="9" s="1"/>
  <c r="I169" i="9" s="1"/>
  <c r="F43" i="9"/>
  <c r="D171" i="9" s="1"/>
  <c r="F85" i="9"/>
  <c r="G170" i="9"/>
  <c r="H43" i="9"/>
  <c r="G171" i="9" s="1"/>
  <c r="G167" i="8"/>
  <c r="I167" i="8" s="1"/>
  <c r="H40" i="8"/>
  <c r="E167" i="10" l="1"/>
  <c r="G82" i="10"/>
  <c r="H167" i="10" s="1"/>
  <c r="I167" i="10" s="1"/>
  <c r="E125" i="10"/>
  <c r="D168" i="10"/>
  <c r="F83" i="10"/>
  <c r="F41" i="10"/>
  <c r="G168" i="10"/>
  <c r="H41" i="10"/>
  <c r="D170" i="8"/>
  <c r="F43" i="8"/>
  <c r="F86" i="8" s="1"/>
  <c r="G86" i="8" s="1"/>
  <c r="E127" i="8"/>
  <c r="E169" i="8"/>
  <c r="H169" i="8"/>
  <c r="G85" i="9"/>
  <c r="H170" i="9" s="1"/>
  <c r="I170" i="9" s="1"/>
  <c r="E170" i="9"/>
  <c r="E128" i="9"/>
  <c r="F86" i="9"/>
  <c r="G168" i="8"/>
  <c r="I168" i="8" s="1"/>
  <c r="H41" i="8"/>
  <c r="G169" i="10" l="1"/>
  <c r="H42" i="10"/>
  <c r="D169" i="10"/>
  <c r="F84" i="10"/>
  <c r="F42" i="10"/>
  <c r="E126" i="10"/>
  <c r="G83" i="10"/>
  <c r="H168" i="10" s="1"/>
  <c r="I168" i="10" s="1"/>
  <c r="E168" i="10"/>
  <c r="D171" i="8"/>
  <c r="E170" i="8"/>
  <c r="H170" i="8"/>
  <c r="E128" i="8"/>
  <c r="G86" i="9"/>
  <c r="H171" i="9" s="1"/>
  <c r="I171" i="9" s="1"/>
  <c r="E129" i="9"/>
  <c r="E171" i="9"/>
  <c r="G169" i="8"/>
  <c r="I169" i="8" s="1"/>
  <c r="H42" i="8"/>
  <c r="G170" i="10" l="1"/>
  <c r="H43" i="10"/>
  <c r="G171" i="10" s="1"/>
  <c r="D170" i="10"/>
  <c r="F85" i="10"/>
  <c r="F43" i="10"/>
  <c r="G84" i="10"/>
  <c r="H169" i="10" s="1"/>
  <c r="I169" i="10" s="1"/>
  <c r="E169" i="10"/>
  <c r="E127" i="10"/>
  <c r="E171" i="8"/>
  <c r="H171" i="8"/>
  <c r="E129" i="8"/>
  <c r="H43" i="8"/>
  <c r="G171" i="8" s="1"/>
  <c r="G170" i="8"/>
  <c r="I170" i="8" s="1"/>
  <c r="D171" i="10" l="1"/>
  <c r="F86" i="10"/>
  <c r="E170" i="10"/>
  <c r="G85" i="10"/>
  <c r="H170" i="10" s="1"/>
  <c r="I170" i="10" s="1"/>
  <c r="E128" i="10"/>
  <c r="I171" i="8"/>
  <c r="G86" i="10" l="1"/>
  <c r="H171" i="10" s="1"/>
  <c r="I171" i="10" s="1"/>
  <c r="E129" i="10"/>
  <c r="E171" i="10"/>
  <c r="G78" i="3" l="1"/>
  <c r="G77" i="3"/>
  <c r="G76" i="3"/>
  <c r="G75" i="3"/>
  <c r="E75" i="3"/>
  <c r="G74" i="3"/>
  <c r="F65" i="3"/>
  <c r="F63" i="3"/>
  <c r="F57" i="3"/>
  <c r="E54" i="3"/>
  <c r="E53" i="3"/>
  <c r="F33" i="3"/>
  <c r="E78" i="3" s="1"/>
  <c r="F32" i="3"/>
  <c r="F31" i="3"/>
  <c r="G31" i="3" s="1"/>
  <c r="H76" i="3" s="1"/>
  <c r="I76" i="3" s="1"/>
  <c r="F30" i="3"/>
  <c r="G30" i="3" s="1"/>
  <c r="H75" i="3" s="1"/>
  <c r="F29" i="3"/>
  <c r="E74" i="3" s="1"/>
  <c r="D23" i="3"/>
  <c r="D22" i="3"/>
  <c r="F68" i="3" s="1"/>
  <c r="D21" i="3"/>
  <c r="D20" i="3"/>
  <c r="D19" i="3"/>
  <c r="D18" i="3"/>
  <c r="F64" i="3" s="1"/>
  <c r="D17" i="3"/>
  <c r="D16" i="3"/>
  <c r="F62" i="3" s="1"/>
  <c r="D15" i="3"/>
  <c r="D14" i="3"/>
  <c r="F60" i="3" s="1"/>
  <c r="D13" i="3"/>
  <c r="D12" i="3"/>
  <c r="D11" i="3"/>
  <c r="F11" i="3" s="1"/>
  <c r="D10" i="3"/>
  <c r="D9" i="3"/>
  <c r="D8" i="3"/>
  <c r="D7" i="3"/>
  <c r="D6" i="3"/>
  <c r="F58" i="2"/>
  <c r="F59" i="2"/>
  <c r="F60" i="2"/>
  <c r="F61" i="2"/>
  <c r="F62" i="2"/>
  <c r="F63" i="2"/>
  <c r="F64" i="2"/>
  <c r="F65" i="2"/>
  <c r="F66" i="2"/>
  <c r="F67" i="2"/>
  <c r="F68" i="2"/>
  <c r="F69" i="2"/>
  <c r="F57" i="2"/>
  <c r="I56" i="2"/>
  <c r="J57" i="2" s="1"/>
  <c r="K55" i="2"/>
  <c r="K54" i="2"/>
  <c r="K53" i="2"/>
  <c r="K52" i="2"/>
  <c r="K56" i="2"/>
  <c r="D80" i="2"/>
  <c r="D81" i="2"/>
  <c r="D82" i="2"/>
  <c r="D83" i="2"/>
  <c r="D84" i="2"/>
  <c r="D85" i="2"/>
  <c r="D86" i="2"/>
  <c r="D87" i="2"/>
  <c r="D88" i="2"/>
  <c r="D89" i="2"/>
  <c r="D90" i="2"/>
  <c r="D91" i="2"/>
  <c r="D79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74" i="2"/>
  <c r="E53" i="2"/>
  <c r="E54" i="2"/>
  <c r="E55" i="2"/>
  <c r="E56" i="2"/>
  <c r="E52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6" i="2"/>
  <c r="F30" i="2"/>
  <c r="G75" i="2"/>
  <c r="G76" i="2"/>
  <c r="G77" i="2"/>
  <c r="G78" i="2"/>
  <c r="G74" i="2"/>
  <c r="F31" i="2"/>
  <c r="F32" i="2"/>
  <c r="F33" i="2"/>
  <c r="F29" i="2"/>
  <c r="F34" i="3" l="1"/>
  <c r="D79" i="3"/>
  <c r="I75" i="3"/>
  <c r="F12" i="3"/>
  <c r="F13" i="3" s="1"/>
  <c r="G29" i="3"/>
  <c r="H74" i="3" s="1"/>
  <c r="I74" i="3" s="1"/>
  <c r="G33" i="3"/>
  <c r="H78" i="3" s="1"/>
  <c r="I78" i="3" s="1"/>
  <c r="F58" i="3"/>
  <c r="F66" i="3"/>
  <c r="E55" i="3"/>
  <c r="G32" i="3" s="1"/>
  <c r="H77" i="3" s="1"/>
  <c r="I77" i="3" s="1"/>
  <c r="F59" i="3"/>
  <c r="F67" i="3"/>
  <c r="E52" i="3"/>
  <c r="E56" i="3"/>
  <c r="I56" i="3" s="1"/>
  <c r="J57" i="3" s="1"/>
  <c r="F61" i="3"/>
  <c r="F69" i="3"/>
  <c r="E76" i="3"/>
  <c r="E77" i="3"/>
  <c r="F11" i="2"/>
  <c r="F12" i="2" s="1"/>
  <c r="G32" i="2"/>
  <c r="H77" i="2" s="1"/>
  <c r="I77" i="2" s="1"/>
  <c r="G30" i="2"/>
  <c r="H75" i="2" s="1"/>
  <c r="I75" i="2" s="1"/>
  <c r="G31" i="2"/>
  <c r="H76" i="2" s="1"/>
  <c r="I76" i="2" s="1"/>
  <c r="G29" i="2"/>
  <c r="H74" i="2" s="1"/>
  <c r="I74" i="2" s="1"/>
  <c r="G33" i="2"/>
  <c r="H78" i="2" s="1"/>
  <c r="I78" i="2" s="1"/>
  <c r="D81" i="3" l="1"/>
  <c r="F36" i="3"/>
  <c r="F14" i="3"/>
  <c r="G34" i="3"/>
  <c r="H79" i="3" s="1"/>
  <c r="E57" i="3"/>
  <c r="E79" i="3"/>
  <c r="D80" i="3"/>
  <c r="F35" i="3"/>
  <c r="F13" i="2"/>
  <c r="F14" i="2" s="1"/>
  <c r="F35" i="2"/>
  <c r="E58" i="2" s="1"/>
  <c r="F34" i="2"/>
  <c r="E57" i="2" s="1"/>
  <c r="D82" i="3" l="1"/>
  <c r="F37" i="3"/>
  <c r="F15" i="3"/>
  <c r="E80" i="3"/>
  <c r="E58" i="3"/>
  <c r="E81" i="3"/>
  <c r="E59" i="3"/>
  <c r="G11" i="3"/>
  <c r="H11" i="3" s="1"/>
  <c r="I57" i="3"/>
  <c r="J58" i="3" s="1"/>
  <c r="M57" i="3"/>
  <c r="L57" i="3"/>
  <c r="F15" i="2"/>
  <c r="F36" i="2"/>
  <c r="E59" i="2" s="1"/>
  <c r="F37" i="2"/>
  <c r="E60" i="2" s="1"/>
  <c r="N57" i="3" l="1"/>
  <c r="O57" i="3" s="1"/>
  <c r="D83" i="3"/>
  <c r="F38" i="3"/>
  <c r="F16" i="3"/>
  <c r="E60" i="3"/>
  <c r="E82" i="3"/>
  <c r="G79" i="3"/>
  <c r="I79" i="3" s="1"/>
  <c r="F16" i="2"/>
  <c r="F38" i="2"/>
  <c r="E61" i="2" s="1"/>
  <c r="G12" i="3" l="1"/>
  <c r="H12" i="3" s="1"/>
  <c r="M58" i="3"/>
  <c r="I58" i="3"/>
  <c r="J59" i="3" s="1"/>
  <c r="G35" i="3"/>
  <c r="H80" i="3" s="1"/>
  <c r="F39" i="3"/>
  <c r="D84" i="3"/>
  <c r="F17" i="3"/>
  <c r="E83" i="3"/>
  <c r="E61" i="3"/>
  <c r="L58" i="3"/>
  <c r="N58" i="3" s="1"/>
  <c r="O58" i="3" s="1"/>
  <c r="F17" i="2"/>
  <c r="F39" i="2"/>
  <c r="E62" i="2" s="1"/>
  <c r="F40" i="3" l="1"/>
  <c r="D85" i="3"/>
  <c r="F18" i="3"/>
  <c r="E62" i="3"/>
  <c r="E84" i="3"/>
  <c r="G80" i="3"/>
  <c r="I80" i="3" s="1"/>
  <c r="F18" i="2"/>
  <c r="F40" i="2"/>
  <c r="E63" i="2" s="1"/>
  <c r="G13" i="3" l="1"/>
  <c r="H13" i="3" s="1"/>
  <c r="M59" i="3"/>
  <c r="I59" i="3"/>
  <c r="J60" i="3" s="1"/>
  <c r="G36" i="3"/>
  <c r="H81" i="3" s="1"/>
  <c r="L59" i="3"/>
  <c r="D86" i="3"/>
  <c r="F41" i="3"/>
  <c r="F19" i="3"/>
  <c r="E85" i="3"/>
  <c r="E63" i="3"/>
  <c r="F19" i="2"/>
  <c r="F41" i="2"/>
  <c r="E64" i="2" s="1"/>
  <c r="N59" i="3" l="1"/>
  <c r="O59" i="3" s="1"/>
  <c r="E86" i="3"/>
  <c r="E64" i="3"/>
  <c r="F42" i="3"/>
  <c r="D87" i="3"/>
  <c r="F20" i="3"/>
  <c r="G81" i="3"/>
  <c r="I81" i="3" s="1"/>
  <c r="F20" i="2"/>
  <c r="F42" i="2"/>
  <c r="E65" i="2" s="1"/>
  <c r="G14" i="3" l="1"/>
  <c r="H14" i="3" s="1"/>
  <c r="M60" i="3"/>
  <c r="I60" i="3"/>
  <c r="J61" i="3" s="1"/>
  <c r="G37" i="3"/>
  <c r="H82" i="3" s="1"/>
  <c r="L60" i="3"/>
  <c r="E65" i="3"/>
  <c r="E87" i="3"/>
  <c r="D88" i="3"/>
  <c r="F43" i="3"/>
  <c r="F21" i="3"/>
  <c r="F21" i="2"/>
  <c r="F43" i="2"/>
  <c r="E66" i="2" s="1"/>
  <c r="N60" i="3" l="1"/>
  <c r="O60" i="3" s="1"/>
  <c r="G82" i="3"/>
  <c r="I82" i="3" s="1"/>
  <c r="D89" i="3"/>
  <c r="F44" i="3"/>
  <c r="F22" i="3"/>
  <c r="E88" i="3"/>
  <c r="E66" i="3"/>
  <c r="F22" i="2"/>
  <c r="F44" i="2"/>
  <c r="E67" i="2" s="1"/>
  <c r="D90" i="3" l="1"/>
  <c r="F45" i="3"/>
  <c r="F23" i="3"/>
  <c r="E89" i="3"/>
  <c r="E67" i="3"/>
  <c r="G15" i="3"/>
  <c r="H15" i="3" s="1"/>
  <c r="M61" i="3"/>
  <c r="I61" i="3"/>
  <c r="J62" i="3" s="1"/>
  <c r="G38" i="3"/>
  <c r="H83" i="3" s="1"/>
  <c r="L61" i="3"/>
  <c r="F23" i="2"/>
  <c r="F45" i="2"/>
  <c r="E68" i="2" s="1"/>
  <c r="G83" i="3" l="1"/>
  <c r="I83" i="3" s="1"/>
  <c r="D91" i="3"/>
  <c r="F46" i="3"/>
  <c r="N61" i="3"/>
  <c r="O61" i="3" s="1"/>
  <c r="E68" i="3"/>
  <c r="E90" i="3"/>
  <c r="F46" i="2"/>
  <c r="E69" i="2" s="1"/>
  <c r="E91" i="3" l="1"/>
  <c r="E69" i="3"/>
  <c r="I62" i="3"/>
  <c r="J63" i="3" s="1"/>
  <c r="M62" i="3"/>
  <c r="G16" i="3"/>
  <c r="H16" i="3" s="1"/>
  <c r="G39" i="3"/>
  <c r="H84" i="3" s="1"/>
  <c r="L62" i="3"/>
  <c r="N62" i="3" s="1"/>
  <c r="O62" i="3" s="1"/>
  <c r="G84" i="3" l="1"/>
  <c r="I84" i="3" s="1"/>
  <c r="G17" i="3" l="1"/>
  <c r="H17" i="3" s="1"/>
  <c r="I63" i="3"/>
  <c r="J64" i="3" s="1"/>
  <c r="M63" i="3"/>
  <c r="G40" i="3"/>
  <c r="H85" i="3" s="1"/>
  <c r="L63" i="3"/>
  <c r="N63" i="3" s="1"/>
  <c r="O63" i="3" s="1"/>
  <c r="G85" i="3" l="1"/>
  <c r="I85" i="3" s="1"/>
  <c r="M64" i="3" l="1"/>
  <c r="I64" i="3"/>
  <c r="J65" i="3" s="1"/>
  <c r="G18" i="3"/>
  <c r="H18" i="3" s="1"/>
  <c r="G41" i="3"/>
  <c r="H86" i="3" s="1"/>
  <c r="L64" i="3"/>
  <c r="N64" i="3" l="1"/>
  <c r="O64" i="3" s="1"/>
  <c r="G86" i="3"/>
  <c r="I86" i="3" s="1"/>
  <c r="G19" i="3" l="1"/>
  <c r="H19" i="3" s="1"/>
  <c r="M65" i="3"/>
  <c r="I65" i="3"/>
  <c r="J66" i="3" s="1"/>
  <c r="G42" i="3"/>
  <c r="H87" i="3" s="1"/>
  <c r="L65" i="3"/>
  <c r="N65" i="3" l="1"/>
  <c r="O65" i="3" s="1"/>
  <c r="G87" i="3"/>
  <c r="I87" i="3" s="1"/>
  <c r="G20" i="3" l="1"/>
  <c r="H20" i="3" s="1"/>
  <c r="M66" i="3"/>
  <c r="I66" i="3"/>
  <c r="J67" i="3" s="1"/>
  <c r="G43" i="3"/>
  <c r="H88" i="3" s="1"/>
  <c r="L66" i="3"/>
  <c r="N66" i="3" s="1"/>
  <c r="O66" i="3" s="1"/>
  <c r="G88" i="3" l="1"/>
  <c r="I88" i="3" s="1"/>
  <c r="K57" i="2"/>
  <c r="G21" i="3" l="1"/>
  <c r="H21" i="3" s="1"/>
  <c r="M67" i="3"/>
  <c r="I67" i="3"/>
  <c r="J68" i="3" s="1"/>
  <c r="G44" i="3"/>
  <c r="H89" i="3" s="1"/>
  <c r="L67" i="3"/>
  <c r="N67" i="3" s="1"/>
  <c r="O67" i="3" s="1"/>
  <c r="I57" i="2"/>
  <c r="J58" i="2" s="1"/>
  <c r="K58" i="2" s="1"/>
  <c r="G12" i="2" s="1"/>
  <c r="M57" i="2"/>
  <c r="L57" i="2"/>
  <c r="G11" i="2"/>
  <c r="H11" i="2" s="1"/>
  <c r="G34" i="2"/>
  <c r="H79" i="2" s="1"/>
  <c r="G89" i="3" l="1"/>
  <c r="I89" i="3" s="1"/>
  <c r="L58" i="2"/>
  <c r="M58" i="2"/>
  <c r="N57" i="2"/>
  <c r="O57" i="2" s="1"/>
  <c r="G79" i="2"/>
  <c r="I79" i="2" s="1"/>
  <c r="G35" i="2"/>
  <c r="H80" i="2" s="1"/>
  <c r="I68" i="3" l="1"/>
  <c r="J69" i="3" s="1"/>
  <c r="M68" i="3"/>
  <c r="G22" i="3"/>
  <c r="H22" i="3" s="1"/>
  <c r="G45" i="3"/>
  <c r="H90" i="3" s="1"/>
  <c r="L68" i="3"/>
  <c r="N68" i="3" s="1"/>
  <c r="O68" i="3" s="1"/>
  <c r="N58" i="2"/>
  <c r="O58" i="2" s="1"/>
  <c r="I58" i="2"/>
  <c r="J59" i="2" s="1"/>
  <c r="K59" i="2" s="1"/>
  <c r="H12" i="2"/>
  <c r="G90" i="3" l="1"/>
  <c r="I90" i="3" s="1"/>
  <c r="G23" i="3"/>
  <c r="H23" i="3" s="1"/>
  <c r="G91" i="3" s="1"/>
  <c r="I69" i="3"/>
  <c r="M69" i="3"/>
  <c r="G46" i="3"/>
  <c r="H91" i="3" s="1"/>
  <c r="L69" i="3"/>
  <c r="N69" i="3" s="1"/>
  <c r="O69" i="3" s="1"/>
  <c r="M59" i="2"/>
  <c r="L59" i="2"/>
  <c r="G80" i="2"/>
  <c r="I80" i="2" s="1"/>
  <c r="I91" i="3" l="1"/>
  <c r="N59" i="2"/>
  <c r="O59" i="2" s="1"/>
  <c r="G36" i="2"/>
  <c r="H81" i="2" s="1"/>
  <c r="G13" i="2"/>
  <c r="H13" i="2" s="1"/>
  <c r="I59" i="2"/>
  <c r="J60" i="2" s="1"/>
  <c r="K60" i="2" s="1"/>
  <c r="L60" i="2" l="1"/>
  <c r="M60" i="2"/>
  <c r="G81" i="2"/>
  <c r="I81" i="2" s="1"/>
  <c r="N60" i="2" l="1"/>
  <c r="O60" i="2" s="1"/>
  <c r="G37" i="2"/>
  <c r="H82" i="2" s="1"/>
  <c r="I60" i="2"/>
  <c r="J61" i="2" s="1"/>
  <c r="G14" i="2"/>
  <c r="H14" i="2" s="1"/>
  <c r="K61" i="2" l="1"/>
  <c r="G82" i="2"/>
  <c r="I82" i="2" s="1"/>
  <c r="L61" i="2" l="1"/>
  <c r="M61" i="2"/>
  <c r="I61" i="2"/>
  <c r="J62" i="2" s="1"/>
  <c r="K62" i="2" s="1"/>
  <c r="G15" i="2"/>
  <c r="H15" i="2" s="1"/>
  <c r="G38" i="2"/>
  <c r="H83" i="2" s="1"/>
  <c r="N61" i="2" l="1"/>
  <c r="O61" i="2" s="1"/>
  <c r="M62" i="2"/>
  <c r="L62" i="2"/>
  <c r="G83" i="2"/>
  <c r="I83" i="2" s="1"/>
  <c r="N62" i="2" l="1"/>
  <c r="O62" i="2" s="1"/>
  <c r="I62" i="2"/>
  <c r="J63" i="2" s="1"/>
  <c r="K63" i="2" s="1"/>
  <c r="G16" i="2"/>
  <c r="H16" i="2" s="1"/>
  <c r="G39" i="2"/>
  <c r="H84" i="2" s="1"/>
  <c r="M63" i="2" l="1"/>
  <c r="L63" i="2"/>
  <c r="N63" i="2" s="1"/>
  <c r="O63" i="2" s="1"/>
  <c r="G84" i="2"/>
  <c r="I84" i="2" s="1"/>
  <c r="G40" i="2" l="1"/>
  <c r="H85" i="2" s="1"/>
  <c r="G17" i="2"/>
  <c r="H17" i="2" s="1"/>
  <c r="I63" i="2"/>
  <c r="J64" i="2" s="1"/>
  <c r="K64" i="2" s="1"/>
  <c r="M64" i="2" l="1"/>
  <c r="L64" i="2"/>
  <c r="G85" i="2"/>
  <c r="I85" i="2" s="1"/>
  <c r="N64" i="2" l="1"/>
  <c r="O64" i="2" s="1"/>
  <c r="G41" i="2"/>
  <c r="H86" i="2" s="1"/>
  <c r="G18" i="2"/>
  <c r="H18" i="2" s="1"/>
  <c r="I64" i="2"/>
  <c r="J65" i="2" s="1"/>
  <c r="K65" i="2" s="1"/>
  <c r="M65" i="2" l="1"/>
  <c r="L65" i="2"/>
  <c r="N65" i="2" s="1"/>
  <c r="O65" i="2" s="1"/>
  <c r="G86" i="2"/>
  <c r="I86" i="2" s="1"/>
  <c r="G42" i="2" l="1"/>
  <c r="H87" i="2" s="1"/>
  <c r="G19" i="2"/>
  <c r="H19" i="2" s="1"/>
  <c r="I65" i="2"/>
  <c r="J66" i="2" s="1"/>
  <c r="K66" i="2" s="1"/>
  <c r="L66" i="2" l="1"/>
  <c r="M66" i="2"/>
  <c r="G87" i="2"/>
  <c r="I87" i="2" s="1"/>
  <c r="N66" i="2" l="1"/>
  <c r="O66" i="2" s="1"/>
  <c r="G20" i="2"/>
  <c r="H20" i="2" s="1"/>
  <c r="I66" i="2"/>
  <c r="J67" i="2" s="1"/>
  <c r="K67" i="2" s="1"/>
  <c r="G43" i="2"/>
  <c r="H88" i="2" s="1"/>
  <c r="M67" i="2" l="1"/>
  <c r="L67" i="2"/>
  <c r="G88" i="2"/>
  <c r="I88" i="2" s="1"/>
  <c r="N67" i="2" l="1"/>
  <c r="O67" i="2" s="1"/>
  <c r="G44" i="2"/>
  <c r="H89" i="2" s="1"/>
  <c r="G21" i="2"/>
  <c r="H21" i="2" s="1"/>
  <c r="I67" i="2"/>
  <c r="J68" i="2" s="1"/>
  <c r="K68" i="2" s="1"/>
  <c r="L68" i="2" l="1"/>
  <c r="M68" i="2"/>
  <c r="G89" i="2"/>
  <c r="I89" i="2" s="1"/>
  <c r="N68" i="2" l="1"/>
  <c r="O68" i="2" s="1"/>
  <c r="I68" i="2"/>
  <c r="J69" i="2" s="1"/>
  <c r="K69" i="2" s="1"/>
  <c r="G22" i="2"/>
  <c r="H22" i="2" s="1"/>
  <c r="G45" i="2"/>
  <c r="H90" i="2" s="1"/>
  <c r="L69" i="2" l="1"/>
  <c r="M69" i="2"/>
  <c r="G90" i="2"/>
  <c r="I90" i="2" s="1"/>
  <c r="G23" i="2"/>
  <c r="H23" i="2" s="1"/>
  <c r="G91" i="2" s="1"/>
  <c r="G46" i="2"/>
  <c r="H91" i="2" s="1"/>
  <c r="I69" i="2"/>
  <c r="N69" i="2" l="1"/>
  <c r="O69" i="2" s="1"/>
  <c r="I91" i="2"/>
</calcChain>
</file>

<file path=xl/sharedStrings.xml><?xml version="1.0" encoding="utf-8"?>
<sst xmlns="http://schemas.openxmlformats.org/spreadsheetml/2006/main" count="548" uniqueCount="75">
  <si>
    <t>Año</t>
  </si>
  <si>
    <t>Autos</t>
  </si>
  <si>
    <t>Número de autos nuevos [3]</t>
  </si>
  <si>
    <t>NOM 163</t>
  </si>
  <si>
    <t>Rendimiento, R [4] (km/L)</t>
  </si>
  <si>
    <t>Autos posteriores a NOM163</t>
  </si>
  <si>
    <t>Autos anteriores a NOM163</t>
  </si>
  <si>
    <t>Emisiones de autos anteriores a NOM163</t>
  </si>
  <si>
    <t>Emisiones de autos posteriores a NOM163</t>
  </si>
  <si>
    <t>Emisiones acumuladas de autos posteriores a NOM163</t>
  </si>
  <si>
    <t>POSTERIORES A NOM163</t>
  </si>
  <si>
    <t>ANTERIORES A NOM163</t>
  </si>
  <si>
    <t>FE*KRV</t>
  </si>
  <si>
    <t>CALCULO DEL FACTOR FE*KRV PARA CADA AÑO</t>
  </si>
  <si>
    <t>Rendimiento autos anteriores a NOM163 [4] (km/L)</t>
  </si>
  <si>
    <t>Rendimiento autos posteriores a NOM163 [4] (km/L)</t>
  </si>
  <si>
    <t>Acumulado Razón N/R autos posteriores a NOM163</t>
  </si>
  <si>
    <t>Emisiones de autos anteriores y posteriores a NOM163</t>
  </si>
  <si>
    <r>
      <t>Razón N</t>
    </r>
    <r>
      <rPr>
        <vertAlign val="subscript"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K/R para autos posteriores a NOM163</t>
    </r>
  </si>
  <si>
    <t>Autos nuevos post NOM163</t>
  </si>
  <si>
    <t>En el Escenario base se supone que el rendimiento es el mismo para todos los autos de todos los años (celdas I5:I23)</t>
  </si>
  <si>
    <t>En el escenario de mitigación se considera que los autos nuevos a partir del año de entrada en vigor de la norma tienen mejor rendimiento.</t>
  </si>
  <si>
    <t>Autos [1]</t>
  </si>
  <si>
    <t>[1] Elaboración propia.</t>
  </si>
  <si>
    <t>C:\Users\Luisa\Desktop\AKR\PECC Copy\00 Comentarios 20200623\01 Potencial de mitigacion\Autotransporte\10 New NOM 163 - V3.xlsx</t>
  </si>
  <si>
    <t>Rendimiento autos</t>
  </si>
  <si>
    <t>Número de autos nuevos [1]</t>
  </si>
  <si>
    <t>D96:G113</t>
  </si>
  <si>
    <t>Rendimiento, R [2] (km/L)</t>
  </si>
  <si>
    <t>[2] En el escenario base se supone un rendimiento igual al del periodo 2013 - 2017</t>
  </si>
  <si>
    <r>
      <t>Emisiones de Autos Inventario Chihuahua [1]
(Gg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</si>
  <si>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t>[2] Elaboración propia.</t>
  </si>
  <si>
    <t>[2] En el escenario de mitigación se utiliza el rendimiento esperado bajo la nueva NOM-163-SEMARNAT-ENER-SCFI -2018</t>
  </si>
  <si>
    <t>Ventas Vehículos Eléctricos [3]</t>
  </si>
  <si>
    <t>C:\Users\Luisa\Desktop\AKR\PECC Copy\00 Comentarios 20200623\01 Potencial de mitigacion\Autotransporte\Archivo trabajo penetracion hibridos y electrcos.xlsx</t>
  </si>
  <si>
    <t>Estimacion Ventas VE</t>
  </si>
  <si>
    <t>Autos NOM163 posteriores a NOM163</t>
  </si>
  <si>
    <r>
      <t>Emisiones de Autos Inventario Chihuahua [1]
(Gg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e)</t>
    </r>
  </si>
  <si>
    <t>Regresión cuadrática Autos 2014 - 2030</t>
  </si>
  <si>
    <t>Coef x</t>
  </si>
  <si>
    <t>Constante</t>
  </si>
  <si>
    <r>
      <t>Coef x</t>
    </r>
    <r>
      <rPr>
        <vertAlign val="superscript"/>
        <sz val="11"/>
        <color theme="1"/>
        <rFont val="Calibri"/>
        <family val="2"/>
        <scheme val="minor"/>
      </rPr>
      <t>2</t>
    </r>
  </si>
  <si>
    <t>Fuente de estos parámetros:</t>
  </si>
  <si>
    <t>T11:V21</t>
  </si>
  <si>
    <t>Número de autos nuevos NOM163 [1]</t>
  </si>
  <si>
    <t>Regresión lineal</t>
  </si>
  <si>
    <t>slope</t>
  </si>
  <si>
    <t>constant</t>
  </si>
  <si>
    <t>coefficient</t>
  </si>
  <si>
    <t>Fuente: C:\Users\Luisa\Desktop\AKR\PECC Copy\00 Comentarios 20200623\01 Potencial de mitigacion\Autotransporte\10 New NOM 163 - V3.xlsx</t>
  </si>
  <si>
    <t>[Rendimiento autos]M38:N41</t>
  </si>
  <si>
    <t>% de autos vendidos en Chih del total de autos vendidos a nivel nacional</t>
  </si>
  <si>
    <t>% vs año
regresión cuadrática</t>
  </si>
  <si>
    <t>Factor de penetración</t>
  </si>
  <si>
    <t>Número de autos nuevos
[1]</t>
  </si>
  <si>
    <t>Acumulado de autos nuevos</t>
  </si>
  <si>
    <t>Datos de esta columna son las proyecciones originales como en referencia [1]</t>
  </si>
  <si>
    <t>Acumulado de autos nuevos post NOM163</t>
  </si>
  <si>
    <t>Factor de ponderación</t>
  </si>
  <si>
    <t>Combinacion Autos en circulación</t>
  </si>
  <si>
    <t>Número de autos nuevos consistente</t>
  </si>
  <si>
    <t>Número de autos nuevos
[2]</t>
  </si>
  <si>
    <t>Se utiliza la información de la referencia [1] pero se ajusta para que despues del 2035 el aumento de autos sea consistente con la curva de proyección de autos en circulación, ver celdas M48:Q86 de esta hoja</t>
  </si>
  <si>
    <t>Acumulado Vehículos eléctricos</t>
  </si>
  <si>
    <t>Regr. Cuad. Emisiones Línea Base</t>
  </si>
  <si>
    <t>Emisiones de Autos Inventario Chihuahua</t>
  </si>
  <si>
    <t>Copiado como valores de las celdas R54:R86. Se utiliza la información de la referencia [1] pero se ajusta para que despues del 2035 el aumento de autos sea consistente con la curva de proyección de autos en circulación, ver celdas M48:Q86 de esta hoja</t>
  </si>
  <si>
    <t>El factor de p onderación se utiliza para suavizar la transición de la curva de venta de autos acumulada a la curva proyectada de autos en circulación</t>
  </si>
  <si>
    <t>Esta columna contiene el número de autos nuevos consistente con el crecimiento de autos en criculación, se transfieren datos a la columna D, mismas filas</t>
  </si>
  <si>
    <t>Autos en circulación en Chihuahua</t>
  </si>
  <si>
    <r>
      <t>(Gg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</si>
  <si>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t xml:space="preserve">Emisiones de autos Inventario Chihuahua
</t>
  </si>
  <si>
    <t>Emisiones de autos posteriores a 2018</t>
  </si>
  <si>
    <t>Emisiones de autos anteriores a 2018</t>
  </si>
  <si>
    <t>Emisiones de autos anteriores y posteriores 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</si>
</sst>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,##0.00000"/>
    <numFmt numFmtId="167" formatCode="0.00000000E+00"/>
    <numFmt numFmtId="168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 vertical="top" wrapText="1"/>
    </xf>
    <xf numFmtId="3" fontId="0" fillId="0" borderId="0" xfId="0" applyNumberFormat="1"/>
    <xf numFmtId="0" fontId="0" fillId="0" borderId="0" xfId="0" applyAlignment="1">
      <alignment horizontal="center"/>
    </xf>
    <xf numFmtId="3" fontId="0" fillId="3" borderId="1" xfId="0" applyNumberFormat="1" applyFill="1" applyBorder="1"/>
    <xf numFmtId="0" fontId="0" fillId="0" borderId="0" xfId="0" applyFill="1"/>
    <xf numFmtId="3" fontId="0" fillId="0" borderId="0" xfId="0" applyNumberFormat="1" applyFill="1" applyBorder="1"/>
    <xf numFmtId="0" fontId="0" fillId="0" borderId="0" xfId="0" applyFill="1" applyBorder="1" applyAlignment="1">
      <alignment horizontal="center" vertical="top" wrapText="1"/>
    </xf>
    <xf numFmtId="3" fontId="0" fillId="0" borderId="0" xfId="0" applyNumberFormat="1" applyBorder="1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/>
    <xf numFmtId="3" fontId="0" fillId="2" borderId="1" xfId="0" applyNumberFormat="1" applyFill="1" applyBorder="1"/>
    <xf numFmtId="164" fontId="0" fillId="2" borderId="1" xfId="0" applyNumberFormat="1" applyFill="1" applyBorder="1"/>
    <xf numFmtId="0" fontId="0" fillId="0" borderId="0" xfId="0" applyFill="1" applyBorder="1"/>
    <xf numFmtId="0" fontId="0" fillId="0" borderId="0" xfId="0" applyBorder="1"/>
    <xf numFmtId="0" fontId="0" fillId="0" borderId="0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3" fontId="0" fillId="4" borderId="1" xfId="0" applyNumberFormat="1" applyFill="1" applyBorder="1"/>
    <xf numFmtId="0" fontId="0" fillId="4" borderId="1" xfId="0" applyFill="1" applyBorder="1"/>
    <xf numFmtId="0" fontId="3" fillId="2" borderId="1" xfId="0" applyFont="1" applyFill="1" applyBorder="1" applyAlignment="1">
      <alignment horizontal="center" vertical="top" wrapText="1"/>
    </xf>
    <xf numFmtId="165" fontId="0" fillId="4" borderId="1" xfId="0" applyNumberFormat="1" applyFill="1" applyBorder="1"/>
    <xf numFmtId="165" fontId="0" fillId="2" borderId="1" xfId="0" applyNumberFormat="1" applyFill="1" applyBorder="1"/>
    <xf numFmtId="166" fontId="0" fillId="4" borderId="1" xfId="0" applyNumberFormat="1" applyFill="1" applyBorder="1"/>
    <xf numFmtId="0" fontId="5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2" borderId="1" xfId="0" applyFont="1" applyFill="1" applyBorder="1"/>
    <xf numFmtId="3" fontId="0" fillId="2" borderId="1" xfId="0" applyNumberFormat="1" applyFont="1" applyFill="1" applyBorder="1"/>
    <xf numFmtId="3" fontId="0" fillId="4" borderId="1" xfId="0" applyNumberFormat="1" applyFont="1" applyFill="1" applyBorder="1"/>
    <xf numFmtId="165" fontId="0" fillId="5" borderId="1" xfId="0" applyNumberFormat="1" applyFill="1" applyBorder="1"/>
    <xf numFmtId="0" fontId="0" fillId="5" borderId="1" xfId="0" applyFill="1" applyBorder="1" applyAlignment="1">
      <alignment horizontal="center" vertical="top" wrapText="1"/>
    </xf>
    <xf numFmtId="166" fontId="0" fillId="6" borderId="1" xfId="0" applyNumberFormat="1" applyFill="1" applyBorder="1"/>
    <xf numFmtId="0" fontId="0" fillId="4" borderId="2" xfId="0" applyFill="1" applyBorder="1"/>
    <xf numFmtId="0" fontId="0" fillId="4" borderId="6" xfId="0" applyFill="1" applyBorder="1"/>
    <xf numFmtId="0" fontId="0" fillId="4" borderId="7" xfId="0" applyFill="1" applyBorder="1"/>
    <xf numFmtId="166" fontId="0" fillId="4" borderId="0" xfId="0" applyNumberFormat="1" applyFill="1" applyBorder="1"/>
    <xf numFmtId="0" fontId="0" fillId="2" borderId="0" xfId="0" applyFill="1" applyBorder="1" applyAlignment="1">
      <alignment horizontal="center" vertical="top" wrapText="1"/>
    </xf>
    <xf numFmtId="0" fontId="0" fillId="7" borderId="0" xfId="0" applyFill="1"/>
    <xf numFmtId="0" fontId="0" fillId="7" borderId="1" xfId="0" applyFill="1" applyBorder="1"/>
    <xf numFmtId="167" fontId="0" fillId="7" borderId="1" xfId="0" applyNumberFormat="1" applyFill="1" applyBorder="1"/>
    <xf numFmtId="3" fontId="0" fillId="7" borderId="1" xfId="0" applyNumberFormat="1" applyFont="1" applyFill="1" applyBorder="1"/>
    <xf numFmtId="3" fontId="0" fillId="7" borderId="0" xfId="0" applyNumberFormat="1" applyFill="1"/>
    <xf numFmtId="0" fontId="0" fillId="7" borderId="8" xfId="0" applyFill="1" applyBorder="1"/>
    <xf numFmtId="3" fontId="0" fillId="7" borderId="1" xfId="0" applyNumberFormat="1" applyFill="1" applyBorder="1"/>
    <xf numFmtId="165" fontId="0" fillId="7" borderId="1" xfId="0" applyNumberFormat="1" applyFill="1" applyBorder="1"/>
    <xf numFmtId="0" fontId="0" fillId="7" borderId="0" xfId="0" applyFill="1" applyBorder="1"/>
    <xf numFmtId="167" fontId="0" fillId="7" borderId="5" xfId="0" applyNumberFormat="1" applyFill="1" applyBorder="1"/>
    <xf numFmtId="166" fontId="0" fillId="7" borderId="0" xfId="0" applyNumberFormat="1" applyFill="1"/>
    <xf numFmtId="168" fontId="0" fillId="7" borderId="1" xfId="1" applyNumberFormat="1" applyFont="1" applyFill="1" applyBorder="1"/>
    <xf numFmtId="0" fontId="0" fillId="7" borderId="4" xfId="0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 vertical="top" wrapText="1"/>
    </xf>
    <xf numFmtId="166" fontId="0" fillId="6" borderId="0" xfId="0" applyNumberFormat="1" applyFill="1" applyBorder="1"/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/>
    <xf numFmtId="165" fontId="0" fillId="3" borderId="1" xfId="0" applyNumberFormat="1" applyFill="1" applyBorder="1"/>
    <xf numFmtId="0" fontId="8" fillId="2" borderId="1" xfId="0" applyFont="1" applyFill="1" applyBorder="1" applyAlignment="1">
      <alignment horizontal="center" vertical="top" wrapText="1"/>
    </xf>
    <xf numFmtId="164" fontId="8" fillId="2" borderId="1" xfId="0" applyNumberFormat="1" applyFont="1" applyFill="1" applyBorder="1"/>
    <xf numFmtId="3" fontId="0" fillId="8" borderId="1" xfId="0" applyNumberFormat="1" applyFill="1" applyBorder="1"/>
    <xf numFmtId="3" fontId="8" fillId="9" borderId="1" xfId="0" applyNumberFormat="1" applyFont="1" applyFill="1" applyBorder="1"/>
    <xf numFmtId="165" fontId="0" fillId="9" borderId="1" xfId="0" applyNumberFormat="1" applyFill="1" applyBorder="1"/>
    <xf numFmtId="0" fontId="0" fillId="0" borderId="0" xfId="0" applyAlignment="1">
      <alignment horizontal="center" vertical="center"/>
    </xf>
    <xf numFmtId="0" fontId="0" fillId="10" borderId="1" xfId="0" applyFill="1" applyBorder="1" applyAlignment="1">
      <alignment horizontal="center" vertical="top" wrapText="1"/>
    </xf>
    <xf numFmtId="0" fontId="0" fillId="10" borderId="1" xfId="0" applyFill="1" applyBorder="1"/>
    <xf numFmtId="168" fontId="0" fillId="10" borderId="1" xfId="1" applyNumberFormat="1" applyFont="1" applyFill="1" applyBorder="1"/>
    <xf numFmtId="9" fontId="2" fillId="2" borderId="1" xfId="0" applyNumberFormat="1" applyFont="1" applyFill="1" applyBorder="1"/>
    <xf numFmtId="9" fontId="0" fillId="0" borderId="0" xfId="1" applyFont="1"/>
    <xf numFmtId="0" fontId="2" fillId="4" borderId="1" xfId="0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3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00FF"/>
      <color rgb="FFFF99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'Escenario Base'!$C$73</c:f>
              <c:strCache>
                <c:ptCount val="1"/>
                <c:pt idx="0">
                  <c:v>Autos [1]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'Escenario Base'!$B$74:$B$91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'Escenario Base'!$C$74:$C$91</c:f>
              <c:numCache>
                <c:formatCode>#,##0</c:formatCode>
                <c:ptCount val="1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1166385.7116395417</c:v>
                </c:pt>
                <c:pt idx="6">
                  <c:v>1206991.5861911501</c:v>
                </c:pt>
                <c:pt idx="7">
                  <c:v>1247784.1313553418</c:v>
                </c:pt>
                <c:pt idx="8">
                  <c:v>1288748.2711188961</c:v>
                </c:pt>
                <c:pt idx="9">
                  <c:v>1329857.3224403893</c:v>
                </c:pt>
                <c:pt idx="10">
                  <c:v>1371090.8945916586</c:v>
                </c:pt>
                <c:pt idx="11">
                  <c:v>1412434.5035978679</c:v>
                </c:pt>
                <c:pt idx="12">
                  <c:v>1453842.0175012546</c:v>
                </c:pt>
                <c:pt idx="13">
                  <c:v>1495296.6218874408</c:v>
                </c:pt>
                <c:pt idx="14">
                  <c:v>1536770.45903657</c:v>
                </c:pt>
                <c:pt idx="15">
                  <c:v>1578233.9588539612</c:v>
                </c:pt>
                <c:pt idx="16">
                  <c:v>1619667.6062884759</c:v>
                </c:pt>
                <c:pt idx="17">
                  <c:v>1661026.0804002865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DC1-4090-AADA-0D52CB6AF77A}"/>
            </c:ext>
          </c:extLst>
        </c:ser>
        <c:ser>
          <c:idx val="1"/>
          <c:order val="1"/>
          <c:tx>
            <c:strRef>
              <c:f>'Escenario Base'!$D$73</c:f>
              <c:strCache>
                <c:ptCount val="1"/>
                <c:pt idx="0">
                  <c:v>Autos posteriores a NOM163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'Escenario Base'!$B$74:$B$91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'Escenario Base'!$D$73:$D$90</c:f>
              <c:numCache>
                <c:formatCode>#,##0</c:formatCode>
                <c:ptCount val="18"/>
                <c:pt idx="0" formatCode="General">
                  <c:v>0</c:v>
                </c:pt>
                <c:pt idx="6">
                  <c:v>51642.285714285448</c:v>
                </c:pt>
                <c:pt idx="7">
                  <c:v>107573.71428571269</c:v>
                </c:pt>
                <c:pt idx="8">
                  <c:v>167794.28571428359</c:v>
                </c:pt>
                <c:pt idx="9">
                  <c:v>232303.99999999814</c:v>
                </c:pt>
                <c:pt idx="10">
                  <c:v>301102.85714285448</c:v>
                </c:pt>
                <c:pt idx="11">
                  <c:v>374190.85714285448</c:v>
                </c:pt>
                <c:pt idx="12">
                  <c:v>451567.99999999627</c:v>
                </c:pt>
                <c:pt idx="13">
                  <c:v>533234.28571428172</c:v>
                </c:pt>
                <c:pt idx="14">
                  <c:v>619189.71428570896</c:v>
                </c:pt>
                <c:pt idx="15">
                  <c:v>709434.28571427986</c:v>
                </c:pt>
                <c:pt idx="16">
                  <c:v>803967.99999999441</c:v>
                </c:pt>
                <c:pt idx="17">
                  <c:v>902790.85714285076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DC1-4090-AADA-0D52CB6AF77A}"/>
            </c:ext>
          </c:extLst>
        </c:ser>
        <c:ser>
          <c:idx val="2"/>
          <c:order val="2"/>
          <c:tx>
            <c:strRef>
              <c:f>'Escenario Base'!$E$73</c:f>
              <c:strCache>
                <c:ptCount val="1"/>
                <c:pt idx="0">
                  <c:v>Autos anteriores a NOM163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'Escenario Base'!$B$74:$B$91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'Escenario Base'!$E$74:$E$91</c:f>
              <c:numCache>
                <c:formatCode>#,##0</c:formatCode>
                <c:ptCount val="1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1114743.4259252562</c:v>
                </c:pt>
                <c:pt idx="6">
                  <c:v>1099417.8719054374</c:v>
                </c:pt>
                <c:pt idx="7">
                  <c:v>1079989.8456410582</c:v>
                </c:pt>
                <c:pt idx="8">
                  <c:v>1056444.2711188979</c:v>
                </c:pt>
                <c:pt idx="9">
                  <c:v>1028754.4652975348</c:v>
                </c:pt>
                <c:pt idx="10">
                  <c:v>996900.03744880413</c:v>
                </c:pt>
                <c:pt idx="11">
                  <c:v>960866.50359787163</c:v>
                </c:pt>
                <c:pt idx="12">
                  <c:v>920607.73178697284</c:v>
                </c:pt>
                <c:pt idx="13">
                  <c:v>876106.90760173183</c:v>
                </c:pt>
                <c:pt idx="14">
                  <c:v>827336.17332229018</c:v>
                </c:pt>
                <c:pt idx="15">
                  <c:v>774265.95885396679</c:v>
                </c:pt>
                <c:pt idx="16">
                  <c:v>716876.74914562516</c:v>
                </c:pt>
                <c:pt idx="17">
                  <c:v>655123.22325743572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DC1-4090-AADA-0D52CB6AF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7159584"/>
        <c:axId val="837162536"/>
      </c:scatterChart>
      <c:valAx>
        <c:axId val="837159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62536"/>
        <c:crosses val="autoZero"/>
        <c:crossBetween val="midCat"/>
      </c:valAx>
      <c:valAx>
        <c:axId val="837162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59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3"/>
          <c:order val="0"/>
          <c:tx>
            <c:strRef>
              <c:f>'Mitigacion VE@20%'!$F$73</c:f>
              <c:strCache>
                <c:ptCount val="1"/>
                <c:pt idx="0">
                  <c:v>Emisiones de autos Inventario Chihuahua
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VE@20%'!$F$74:$F$91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4409.1759291458902</c:v>
                </c:pt>
                <c:pt idx="2">
                  <c:v>4697.8044143992256</c:v>
                </c:pt>
                <c:pt idx="3">
                  <c:v>4861.015568828896</c:v>
                </c:pt>
                <c:pt idx="4">
                  <c:v>4774.6817019902828</c:v>
                </c:pt>
                <c:pt idx="5">
                  <c:v>4784.7519434793039</c:v>
                </c:pt>
                <c:pt idx="6">
                  <c:v>4809.2963508437269</c:v>
                </c:pt>
                <c:pt idx="7">
                  <c:v>4845.536453345142</c:v>
                </c:pt>
                <c:pt idx="8">
                  <c:v>4893.1151305214926</c:v>
                </c:pt>
                <c:pt idx="9">
                  <c:v>4952.0423023853336</c:v>
                </c:pt>
                <c:pt idx="10">
                  <c:v>5022.1493287186813</c:v>
                </c:pt>
                <c:pt idx="11">
                  <c:v>5103.1187691104178</c:v>
                </c:pt>
                <c:pt idx="12">
                  <c:v>5195.5160642926385</c:v>
                </c:pt>
                <c:pt idx="13">
                  <c:v>5299.0832939312513</c:v>
                </c:pt>
                <c:pt idx="14">
                  <c:v>5413.8700580907316</c:v>
                </c:pt>
                <c:pt idx="15">
                  <c:v>5539.9656368863471</c:v>
                </c:pt>
                <c:pt idx="16">
                  <c:v>5677.2013900999818</c:v>
                </c:pt>
                <c:pt idx="17">
                  <c:v>5826.0534783480334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C6-4846-A30B-D08ABD7B539C}"/>
            </c:ext>
          </c:extLst>
        </c:ser>
        <c:ser>
          <c:idx val="4"/>
          <c:order val="1"/>
          <c:tx>
            <c:strRef>
              <c:f>'Mitigacion VE@20%'!$G$73</c:f>
              <c:strCache>
                <c:ptCount val="1"/>
                <c:pt idx="0">
                  <c:v>Emisiones de autos posteriores a 2018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VE@20%'!$G$74:$G$91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211.03084412307703</c:v>
                </c:pt>
                <c:pt idx="6">
                  <c:v>432.48301783958181</c:v>
                </c:pt>
                <c:pt idx="7">
                  <c:v>661.22195358910813</c:v>
                </c:pt>
                <c:pt idx="8">
                  <c:v>895.5649195831428</c:v>
                </c:pt>
                <c:pt idx="9">
                  <c:v>1135.0813846739843</c:v>
                </c:pt>
                <c:pt idx="10">
                  <c:v>1379.4603908839624</c:v>
                </c:pt>
                <c:pt idx="11">
                  <c:v>1628.4931474550287</c:v>
                </c:pt>
                <c:pt idx="12">
                  <c:v>1882.1392180611833</c:v>
                </c:pt>
                <c:pt idx="13">
                  <c:v>2140.4653937256212</c:v>
                </c:pt>
                <c:pt idx="14">
                  <c:v>2403.6754994393427</c:v>
                </c:pt>
                <c:pt idx="15">
                  <c:v>2672.1255449971932</c:v>
                </c:pt>
                <c:pt idx="16">
                  <c:v>2946.3134530103207</c:v>
                </c:pt>
                <c:pt idx="17">
                  <c:v>3226.9799785294817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4C6-4846-A30B-D08ABD7B539C}"/>
            </c:ext>
          </c:extLst>
        </c:ser>
        <c:ser>
          <c:idx val="5"/>
          <c:order val="2"/>
          <c:tx>
            <c:strRef>
              <c:f>'Mitigacion VE@20%'!$H$73</c:f>
              <c:strCache>
                <c:ptCount val="1"/>
                <c:pt idx="0">
                  <c:v>Emisiones de autos anteriores a 2018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VE@20%'!$H$74:$H$91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4572.9047607923612</c:v>
                </c:pt>
                <c:pt idx="6">
                  <c:v>4374.8827982689982</c:v>
                </c:pt>
                <c:pt idx="7">
                  <c:v>4178.1480588033046</c:v>
                </c:pt>
                <c:pt idx="8">
                  <c:v>3982.5406391933921</c:v>
                </c:pt>
                <c:pt idx="9">
                  <c:v>3788.1330883649975</c:v>
                </c:pt>
                <c:pt idx="10">
                  <c:v>3594.6941276091529</c:v>
                </c:pt>
                <c:pt idx="11">
                  <c:v>3401.7275357727162</c:v>
                </c:pt>
                <c:pt idx="12">
                  <c:v>3209.4200578255795</c:v>
                </c:pt>
                <c:pt idx="13">
                  <c:v>3016.9885445153573</c:v>
                </c:pt>
                <c:pt idx="14">
                  <c:v>2823.7634828396313</c:v>
                </c:pt>
                <c:pt idx="15">
                  <c:v>2628.8861810769477</c:v>
                </c:pt>
                <c:pt idx="16">
                  <c:v>2431.0033800523147</c:v>
                </c:pt>
                <c:pt idx="17">
                  <c:v>2229.0223114014152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4C6-4846-A30B-D08ABD7B539C}"/>
            </c:ext>
          </c:extLst>
        </c:ser>
        <c:ser>
          <c:idx val="6"/>
          <c:order val="3"/>
          <c:tx>
            <c:strRef>
              <c:f>'Mitigacion VE@20%'!$I$73</c:f>
              <c:strCache>
                <c:ptCount val="1"/>
                <c:pt idx="0">
                  <c:v>Emisiones de autos anteriores y posteriores a 2018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VE@20%'!$I$74:$I$91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4783.9356049154385</c:v>
                </c:pt>
                <c:pt idx="6">
                  <c:v>4807.3658161085796</c:v>
                </c:pt>
                <c:pt idx="7">
                  <c:v>4839.3700123924127</c:v>
                </c:pt>
                <c:pt idx="8">
                  <c:v>4878.105558776535</c:v>
                </c:pt>
                <c:pt idx="9">
                  <c:v>4923.2144730389819</c:v>
                </c:pt>
                <c:pt idx="10">
                  <c:v>4974.1545184931156</c:v>
                </c:pt>
                <c:pt idx="11">
                  <c:v>5030.2206832277452</c:v>
                </c:pt>
                <c:pt idx="12">
                  <c:v>5091.5592758867624</c:v>
                </c:pt>
                <c:pt idx="13">
                  <c:v>5157.4539382409785</c:v>
                </c:pt>
                <c:pt idx="14">
                  <c:v>5227.4389822789744</c:v>
                </c:pt>
                <c:pt idx="15">
                  <c:v>5301.0117260741408</c:v>
                </c:pt>
                <c:pt idx="16">
                  <c:v>5377.3168330626359</c:v>
                </c:pt>
                <c:pt idx="17">
                  <c:v>5456.0022899308969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4C6-4846-A30B-D08ABD7B5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813968"/>
        <c:axId val="487815280"/>
      </c:scatterChart>
      <c:valAx>
        <c:axId val="487813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5280"/>
        <c:crosses val="autoZero"/>
        <c:crossBetween val="midCat"/>
      </c:valAx>
      <c:valAx>
        <c:axId val="4878152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3"/>
          <c:order val="0"/>
          <c:tx>
            <c:strRef>
              <c:f>'Mitigacion VE@20% (al 2050)'!$C$192</c:f>
              <c:strCache>
                <c:ptCount val="1"/>
                <c:pt idx="0">
                  <c:v>Emisiones de Autos Inventario Chihuahua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2050)'!$B$193:$B$230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2050)'!$C$193:$C$230</c:f>
              <c:numCache>
                <c:formatCode>#,##0</c:formatCode>
                <c:ptCount val="38"/>
                <c:pt idx="0">
                  <c:v>4488.9048500498293</c:v>
                </c:pt>
                <c:pt idx="1">
                  <c:v>4409.1759291458902</c:v>
                </c:pt>
                <c:pt idx="2">
                  <c:v>4697.8044143992256</c:v>
                </c:pt>
                <c:pt idx="3">
                  <c:v>4861.015568828896</c:v>
                </c:pt>
                <c:pt idx="4">
                  <c:v>4774.6817019902828</c:v>
                </c:pt>
                <c:pt idx="5">
                  <c:v>4784.7519434793039</c:v>
                </c:pt>
                <c:pt idx="6">
                  <c:v>4809.2963508437269</c:v>
                </c:pt>
                <c:pt idx="7">
                  <c:v>4845.536453345142</c:v>
                </c:pt>
                <c:pt idx="8">
                  <c:v>4893.1151305214926</c:v>
                </c:pt>
                <c:pt idx="9">
                  <c:v>4952.0423023853336</c:v>
                </c:pt>
                <c:pt idx="10">
                  <c:v>5022.1493287186813</c:v>
                </c:pt>
                <c:pt idx="11">
                  <c:v>5103.1187691104178</c:v>
                </c:pt>
                <c:pt idx="12">
                  <c:v>5195.5160642926385</c:v>
                </c:pt>
                <c:pt idx="13">
                  <c:v>5299.0832939312513</c:v>
                </c:pt>
                <c:pt idx="14">
                  <c:v>5413.8700580907316</c:v>
                </c:pt>
                <c:pt idx="15">
                  <c:v>5539.9656368863471</c:v>
                </c:pt>
                <c:pt idx="16">
                  <c:v>5677.2013900999818</c:v>
                </c:pt>
                <c:pt idx="17">
                  <c:v>5826.0534783480334</c:v>
                </c:pt>
                <c:pt idx="18">
                  <c:v>5986.5304813012481</c:v>
                </c:pt>
                <c:pt idx="19">
                  <c:v>6157.9916860498488</c:v>
                </c:pt>
                <c:pt idx="20">
                  <c:v>6340.7535723261535</c:v>
                </c:pt>
                <c:pt idx="21">
                  <c:v>6534.8161401487887</c:v>
                </c:pt>
                <c:pt idx="22">
                  <c:v>6740.179389514029</c:v>
                </c:pt>
                <c:pt idx="23">
                  <c:v>6956.8433204069734</c:v>
                </c:pt>
                <c:pt idx="24">
                  <c:v>7184.8079328499734</c:v>
                </c:pt>
                <c:pt idx="25">
                  <c:v>7424.0732268206775</c:v>
                </c:pt>
                <c:pt idx="26">
                  <c:v>7674.6392023414373</c:v>
                </c:pt>
                <c:pt idx="27">
                  <c:v>7936.5058593973517</c:v>
                </c:pt>
                <c:pt idx="28">
                  <c:v>8209.6731979884207</c:v>
                </c:pt>
                <c:pt idx="29">
                  <c:v>8494.1412181220949</c:v>
                </c:pt>
                <c:pt idx="30">
                  <c:v>8789.9099197983742</c:v>
                </c:pt>
                <c:pt idx="31">
                  <c:v>9096.9793030060828</c:v>
                </c:pt>
                <c:pt idx="32">
                  <c:v>9415.3493677601218</c:v>
                </c:pt>
                <c:pt idx="33">
                  <c:v>9745.0201140493155</c:v>
                </c:pt>
                <c:pt idx="34">
                  <c:v>10085.991541873664</c:v>
                </c:pt>
                <c:pt idx="35">
                  <c:v>10438.263651244342</c:v>
                </c:pt>
                <c:pt idx="36">
                  <c:v>10801.836442153901</c:v>
                </c:pt>
                <c:pt idx="37">
                  <c:v>11176.709914594889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88D-404B-9868-90E7072EBB77}"/>
            </c:ext>
          </c:extLst>
        </c:ser>
        <c:ser>
          <c:idx val="4"/>
          <c:order val="1"/>
          <c:tx>
            <c:strRef>
              <c:f>'Mitigacion VE@20% (al 2050)'!$G$133</c:f>
              <c:strCache>
                <c:ptCount val="1"/>
                <c:pt idx="0">
                  <c:v>Emisiones de autos posteriores a 2018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2050)'!$G$134:$G$171</c:f>
              <c:numCache>
                <c:formatCode>#,##0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211.03084412307703</c:v>
                </c:pt>
                <c:pt idx="6">
                  <c:v>432.48301783958181</c:v>
                </c:pt>
                <c:pt idx="7">
                  <c:v>661.22195358910813</c:v>
                </c:pt>
                <c:pt idx="8">
                  <c:v>895.5649195831428</c:v>
                </c:pt>
                <c:pt idx="9">
                  <c:v>1135.0813846739843</c:v>
                </c:pt>
                <c:pt idx="10">
                  <c:v>1379.4603908839624</c:v>
                </c:pt>
                <c:pt idx="11">
                  <c:v>1628.4931474550287</c:v>
                </c:pt>
                <c:pt idx="12">
                  <c:v>1882.1392180611833</c:v>
                </c:pt>
                <c:pt idx="13">
                  <c:v>2140.4653937256212</c:v>
                </c:pt>
                <c:pt idx="14">
                  <c:v>2403.6754994393427</c:v>
                </c:pt>
                <c:pt idx="15">
                  <c:v>2672.1255449971932</c:v>
                </c:pt>
                <c:pt idx="16">
                  <c:v>2946.3134530103207</c:v>
                </c:pt>
                <c:pt idx="17">
                  <c:v>3226.9799785294817</c:v>
                </c:pt>
                <c:pt idx="18">
                  <c:v>3512.6772478949083</c:v>
                </c:pt>
                <c:pt idx="19">
                  <c:v>3802.874585361621</c:v>
                </c:pt>
                <c:pt idx="20">
                  <c:v>4097.0413151846305</c:v>
                </c:pt>
                <c:pt idx="21">
                  <c:v>4394.6467616189584</c:v>
                </c:pt>
                <c:pt idx="22">
                  <c:v>4695.1602489196202</c:v>
                </c:pt>
                <c:pt idx="23">
                  <c:v>4998.0511013416271</c:v>
                </c:pt>
                <c:pt idx="24">
                  <c:v>5302.7886431399993</c:v>
                </c:pt>
                <c:pt idx="25">
                  <c:v>5581.4849057667125</c:v>
                </c:pt>
                <c:pt idx="26">
                  <c:v>5663.5490526818649</c:v>
                </c:pt>
                <c:pt idx="27">
                  <c:v>5742.6873859777079</c:v>
                </c:pt>
                <c:pt idx="28">
                  <c:v>5818.9340894027118</c:v>
                </c:pt>
                <c:pt idx="29">
                  <c:v>5892.3233467040791</c:v>
                </c:pt>
                <c:pt idx="30">
                  <c:v>5962.8893416283481</c:v>
                </c:pt>
                <c:pt idx="31">
                  <c:v>6030.6662579241356</c:v>
                </c:pt>
                <c:pt idx="32">
                  <c:v>6095.6882793386667</c:v>
                </c:pt>
                <c:pt idx="33">
                  <c:v>6157.989589618981</c:v>
                </c:pt>
                <c:pt idx="34">
                  <c:v>6217.6043725125601</c:v>
                </c:pt>
                <c:pt idx="35">
                  <c:v>6274.5668117672694</c:v>
                </c:pt>
                <c:pt idx="36">
                  <c:v>6328.9110911305625</c:v>
                </c:pt>
                <c:pt idx="37">
                  <c:v>6380.6713943491841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88D-404B-9868-90E7072EBB77}"/>
            </c:ext>
          </c:extLst>
        </c:ser>
        <c:ser>
          <c:idx val="5"/>
          <c:order val="2"/>
          <c:tx>
            <c:strRef>
              <c:f>'Mitigacion VE@20% (al 2050)'!$H$133</c:f>
              <c:strCache>
                <c:ptCount val="1"/>
                <c:pt idx="0">
                  <c:v>Emisiones de autos anteriores a 2018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2050)'!$H$134:$H$171</c:f>
              <c:numCache>
                <c:formatCode>#,##0</c:formatCode>
                <c:ptCount val="3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4572.9047607923612</c:v>
                </c:pt>
                <c:pt idx="6">
                  <c:v>4374.8827982689982</c:v>
                </c:pt>
                <c:pt idx="7">
                  <c:v>4178.1480588033046</c:v>
                </c:pt>
                <c:pt idx="8">
                  <c:v>3982.5406391933921</c:v>
                </c:pt>
                <c:pt idx="9">
                  <c:v>3788.1330883649975</c:v>
                </c:pt>
                <c:pt idx="10">
                  <c:v>3594.6941276091529</c:v>
                </c:pt>
                <c:pt idx="11">
                  <c:v>3401.7275357727162</c:v>
                </c:pt>
                <c:pt idx="12">
                  <c:v>3209.4200578255795</c:v>
                </c:pt>
                <c:pt idx="13">
                  <c:v>3016.9885445153573</c:v>
                </c:pt>
                <c:pt idx="14">
                  <c:v>2823.7634828396313</c:v>
                </c:pt>
                <c:pt idx="15">
                  <c:v>2628.8861810769477</c:v>
                </c:pt>
                <c:pt idx="16">
                  <c:v>2431.0033800523147</c:v>
                </c:pt>
                <c:pt idx="17">
                  <c:v>2229.0223114014152</c:v>
                </c:pt>
                <c:pt idx="18">
                  <c:v>1995.7845372202291</c:v>
                </c:pt>
                <c:pt idx="19">
                  <c:v>1751.3025308866104</c:v>
                </c:pt>
                <c:pt idx="20">
                  <c:v>1491.286888510172</c:v>
                </c:pt>
                <c:pt idx="21">
                  <c:v>1215.7376100921254</c:v>
                </c:pt>
                <c:pt idx="22">
                  <c:v>924.65469563165902</c:v>
                </c:pt>
                <c:pt idx="23">
                  <c:v>618.03814512918518</c:v>
                </c:pt>
                <c:pt idx="24">
                  <c:v>295.88795858307424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88D-404B-9868-90E7072EBB77}"/>
            </c:ext>
          </c:extLst>
        </c:ser>
        <c:ser>
          <c:idx val="6"/>
          <c:order val="3"/>
          <c:tx>
            <c:strRef>
              <c:f>'Mitigacion VE@20% (al 2050)'!$I$133</c:f>
              <c:strCache>
                <c:ptCount val="1"/>
                <c:pt idx="0">
                  <c:v>Emisiones de autos anteriores y posteriores a 2018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2050)'!$I$134:$I$171</c:f>
              <c:numCache>
                <c:formatCode>#,##0</c:formatCode>
                <c:ptCount val="3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4783.9356049154385</c:v>
                </c:pt>
                <c:pt idx="6">
                  <c:v>4807.3658161085796</c:v>
                </c:pt>
                <c:pt idx="7">
                  <c:v>4839.3700123924127</c:v>
                </c:pt>
                <c:pt idx="8">
                  <c:v>4878.105558776535</c:v>
                </c:pt>
                <c:pt idx="9">
                  <c:v>4923.2144730389819</c:v>
                </c:pt>
                <c:pt idx="10">
                  <c:v>4974.1545184931156</c:v>
                </c:pt>
                <c:pt idx="11">
                  <c:v>5030.2206832277452</c:v>
                </c:pt>
                <c:pt idx="12">
                  <c:v>5091.5592758867624</c:v>
                </c:pt>
                <c:pt idx="13">
                  <c:v>5157.4539382409785</c:v>
                </c:pt>
                <c:pt idx="14">
                  <c:v>5227.4389822789744</c:v>
                </c:pt>
                <c:pt idx="15">
                  <c:v>5301.0117260741408</c:v>
                </c:pt>
                <c:pt idx="16">
                  <c:v>5377.3168330626359</c:v>
                </c:pt>
                <c:pt idx="17">
                  <c:v>5456.0022899308969</c:v>
                </c:pt>
                <c:pt idx="18">
                  <c:v>5508.4617851151379</c:v>
                </c:pt>
                <c:pt idx="19">
                  <c:v>5554.177116248231</c:v>
                </c:pt>
                <c:pt idx="20">
                  <c:v>5588.3282036948021</c:v>
                </c:pt>
                <c:pt idx="21">
                  <c:v>5610.384371711084</c:v>
                </c:pt>
                <c:pt idx="22">
                  <c:v>5619.814944551279</c:v>
                </c:pt>
                <c:pt idx="23">
                  <c:v>5616.0892464708122</c:v>
                </c:pt>
                <c:pt idx="24">
                  <c:v>5598.6766017230739</c:v>
                </c:pt>
                <c:pt idx="25">
                  <c:v>5581.4849057667125</c:v>
                </c:pt>
                <c:pt idx="26">
                  <c:v>5663.5490526818649</c:v>
                </c:pt>
                <c:pt idx="27">
                  <c:v>5742.6873859777079</c:v>
                </c:pt>
                <c:pt idx="28">
                  <c:v>5818.9340894027118</c:v>
                </c:pt>
                <c:pt idx="29">
                  <c:v>5892.3233467040791</c:v>
                </c:pt>
                <c:pt idx="30">
                  <c:v>5962.8893416283481</c:v>
                </c:pt>
                <c:pt idx="31">
                  <c:v>6030.6662579241356</c:v>
                </c:pt>
                <c:pt idx="32">
                  <c:v>6095.6882793386667</c:v>
                </c:pt>
                <c:pt idx="33">
                  <c:v>6157.989589618981</c:v>
                </c:pt>
                <c:pt idx="34">
                  <c:v>6217.6043725125601</c:v>
                </c:pt>
                <c:pt idx="35">
                  <c:v>6274.5668117672694</c:v>
                </c:pt>
                <c:pt idx="36">
                  <c:v>6328.9110911305625</c:v>
                </c:pt>
                <c:pt idx="37">
                  <c:v>6380.6713943491841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88D-404B-9868-90E7072EB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813968"/>
        <c:axId val="487815280"/>
      </c:scatterChart>
      <c:valAx>
        <c:axId val="487813968"/>
        <c:scaling>
          <c:orientation val="minMax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5280"/>
        <c:crosses val="autoZero"/>
        <c:crossBetween val="midCat"/>
        <c:majorUnit val="2"/>
      </c:valAx>
      <c:valAx>
        <c:axId val="4878152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936280746395247E-2"/>
          <c:y val="3.4928492849284926E-2"/>
          <c:w val="0.94271287713558705"/>
          <c:h val="0.818773877387738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'Mitigacion VE@20% (al 2050)'!$C$133</c:f>
              <c:strCache>
                <c:ptCount val="1"/>
                <c:pt idx="0">
                  <c:v>Autos en circulación en Chihuahua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2050)'!$C$134:$C$171</c:f>
              <c:numCache>
                <c:formatCode>#,##0</c:formatCode>
                <c:ptCount val="3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1166385.7116395417</c:v>
                </c:pt>
                <c:pt idx="6">
                  <c:v>1206991.5861911501</c:v>
                </c:pt>
                <c:pt idx="7">
                  <c:v>1247784.1313553418</c:v>
                </c:pt>
                <c:pt idx="8">
                  <c:v>1288748.2711188961</c:v>
                </c:pt>
                <c:pt idx="9">
                  <c:v>1329857.3224403893</c:v>
                </c:pt>
                <c:pt idx="10">
                  <c:v>1371090.8945916586</c:v>
                </c:pt>
                <c:pt idx="11">
                  <c:v>1412434.5035978679</c:v>
                </c:pt>
                <c:pt idx="12">
                  <c:v>1453842.0175012546</c:v>
                </c:pt>
                <c:pt idx="13">
                  <c:v>1495296.6218874408</c:v>
                </c:pt>
                <c:pt idx="14">
                  <c:v>1536770.45903657</c:v>
                </c:pt>
                <c:pt idx="15">
                  <c:v>1578233.9588539612</c:v>
                </c:pt>
                <c:pt idx="16">
                  <c:v>1619667.6062884759</c:v>
                </c:pt>
                <c:pt idx="17">
                  <c:v>1661026.0804002865</c:v>
                </c:pt>
                <c:pt idx="18">
                  <c:v>1699877.2219293118</c:v>
                </c:pt>
                <c:pt idx="19">
                  <c:v>1739712.7580529451</c:v>
                </c:pt>
                <c:pt idx="20">
                  <c:v>1779272.0068622828</c:v>
                </c:pt>
                <c:pt idx="21">
                  <c:v>1818554.9683576822</c:v>
                </c:pt>
                <c:pt idx="22">
                  <c:v>1857561.6425389051</c:v>
                </c:pt>
                <c:pt idx="23">
                  <c:v>1896292.0294060707</c:v>
                </c:pt>
                <c:pt idx="24">
                  <c:v>1934746.1289587021</c:v>
                </c:pt>
                <c:pt idx="25">
                  <c:v>1972923.9411973953</c:v>
                </c:pt>
                <c:pt idx="26">
                  <c:v>2010825.466121912</c:v>
                </c:pt>
                <c:pt idx="27">
                  <c:v>2048450.7037320137</c:v>
                </c:pt>
                <c:pt idx="28">
                  <c:v>2085799.6540281773</c:v>
                </c:pt>
                <c:pt idx="29">
                  <c:v>2122872.3170102835</c:v>
                </c:pt>
                <c:pt idx="30">
                  <c:v>2159668.6926778555</c:v>
                </c:pt>
                <c:pt idx="31">
                  <c:v>2196188.7810314894</c:v>
                </c:pt>
                <c:pt idx="32">
                  <c:v>2232432.5820710659</c:v>
                </c:pt>
                <c:pt idx="33">
                  <c:v>2268400.0957963467</c:v>
                </c:pt>
                <c:pt idx="34">
                  <c:v>2304091.3222073317</c:v>
                </c:pt>
                <c:pt idx="35">
                  <c:v>2339506.2613042593</c:v>
                </c:pt>
                <c:pt idx="36">
                  <c:v>2374644.9130871296</c:v>
                </c:pt>
                <c:pt idx="37">
                  <c:v>2409507.2775554657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362-4137-A372-D707A8C7AABA}"/>
            </c:ext>
          </c:extLst>
        </c:ser>
        <c:ser>
          <c:idx val="1"/>
          <c:order val="1"/>
          <c:tx>
            <c:strRef>
              <c:f>'Mitigacion VE@20% (al 2050)'!$D$133</c:f>
              <c:strCache>
                <c:ptCount val="1"/>
                <c:pt idx="0">
                  <c:v>Autos posteriores a NOM163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2050)'!$D$134:$D$171</c:f>
              <c:numCache>
                <c:formatCode>#,##0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51642.285714285448</c:v>
                </c:pt>
                <c:pt idx="6">
                  <c:v>107573.71428571269</c:v>
                </c:pt>
                <c:pt idx="7">
                  <c:v>167794.28571428356</c:v>
                </c:pt>
                <c:pt idx="8">
                  <c:v>232303.99999999811</c:v>
                </c:pt>
                <c:pt idx="9">
                  <c:v>301102.85714285442</c:v>
                </c:pt>
                <c:pt idx="10">
                  <c:v>374190.85714285442</c:v>
                </c:pt>
                <c:pt idx="11">
                  <c:v>451567.99999999622</c:v>
                </c:pt>
                <c:pt idx="12">
                  <c:v>533234.28571428172</c:v>
                </c:pt>
                <c:pt idx="13">
                  <c:v>619189.71428570896</c:v>
                </c:pt>
                <c:pt idx="14">
                  <c:v>709434.28571427986</c:v>
                </c:pt>
                <c:pt idx="15">
                  <c:v>803967.99999999441</c:v>
                </c:pt>
                <c:pt idx="16">
                  <c:v>902790.85714285076</c:v>
                </c:pt>
                <c:pt idx="17">
                  <c:v>1005902.8571428508</c:v>
                </c:pt>
                <c:pt idx="18">
                  <c:v>1113303.9999999925</c:v>
                </c:pt>
                <c:pt idx="19">
                  <c:v>1224994.285714278</c:v>
                </c:pt>
                <c:pt idx="20">
                  <c:v>1340973.7142857052</c:v>
                </c:pt>
                <c:pt idx="21">
                  <c:v>1461242.2857142764</c:v>
                </c:pt>
                <c:pt idx="22">
                  <c:v>1585799.9999999909</c:v>
                </c:pt>
                <c:pt idx="23">
                  <c:v>1714646.8571428473</c:v>
                </c:pt>
                <c:pt idx="24">
                  <c:v>1847782.8571428473</c:v>
                </c:pt>
                <c:pt idx="25">
                  <c:v>1972923.9411973956</c:v>
                </c:pt>
                <c:pt idx="26">
                  <c:v>2010825.4661219122</c:v>
                </c:pt>
                <c:pt idx="27">
                  <c:v>2048450.7037320142</c:v>
                </c:pt>
                <c:pt idx="28">
                  <c:v>2085799.6540281775</c:v>
                </c:pt>
                <c:pt idx="29">
                  <c:v>2122872.3170102835</c:v>
                </c:pt>
                <c:pt idx="30">
                  <c:v>2159668.692677856</c:v>
                </c:pt>
                <c:pt idx="31">
                  <c:v>2196188.7810314898</c:v>
                </c:pt>
                <c:pt idx="32">
                  <c:v>2232432.5820710664</c:v>
                </c:pt>
                <c:pt idx="33">
                  <c:v>2268400.0957963471</c:v>
                </c:pt>
                <c:pt idx="34">
                  <c:v>2304091.3222073317</c:v>
                </c:pt>
                <c:pt idx="35">
                  <c:v>2339506.2613042598</c:v>
                </c:pt>
                <c:pt idx="36">
                  <c:v>2374644.9130871301</c:v>
                </c:pt>
                <c:pt idx="37">
                  <c:v>2409507.2775554662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362-4137-A372-D707A8C7AABA}"/>
            </c:ext>
          </c:extLst>
        </c:ser>
        <c:ser>
          <c:idx val="2"/>
          <c:order val="2"/>
          <c:tx>
            <c:strRef>
              <c:f>'Mitigacion VE@20% (al 2050)'!$E$133</c:f>
              <c:strCache>
                <c:ptCount val="1"/>
                <c:pt idx="0">
                  <c:v>Autos anteriores a NOM163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2050)'!$E$134:$E$171</c:f>
              <c:numCache>
                <c:formatCode>#,##0</c:formatCode>
                <c:ptCount val="3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1114743.4259252562</c:v>
                </c:pt>
                <c:pt idx="6">
                  <c:v>1099417.8719054374</c:v>
                </c:pt>
                <c:pt idx="7">
                  <c:v>1079989.8456410584</c:v>
                </c:pt>
                <c:pt idx="8">
                  <c:v>1056444.2711188979</c:v>
                </c:pt>
                <c:pt idx="9">
                  <c:v>1028754.4652975349</c:v>
                </c:pt>
                <c:pt idx="10">
                  <c:v>996900.03744880413</c:v>
                </c:pt>
                <c:pt idx="11">
                  <c:v>960866.50359787163</c:v>
                </c:pt>
                <c:pt idx="12">
                  <c:v>920607.73178697284</c:v>
                </c:pt>
                <c:pt idx="13">
                  <c:v>876106.90760173183</c:v>
                </c:pt>
                <c:pt idx="14">
                  <c:v>827336.17332229018</c:v>
                </c:pt>
                <c:pt idx="15">
                  <c:v>774265.95885396679</c:v>
                </c:pt>
                <c:pt idx="16">
                  <c:v>716876.74914562516</c:v>
                </c:pt>
                <c:pt idx="17">
                  <c:v>655123.22325743572</c:v>
                </c:pt>
                <c:pt idx="18">
                  <c:v>586573.2219293192</c:v>
                </c:pt>
                <c:pt idx="19">
                  <c:v>514718.47233866714</c:v>
                </c:pt>
                <c:pt idx="20">
                  <c:v>438298.2925765774</c:v>
                </c:pt>
                <c:pt idx="21">
                  <c:v>357312.68264340586</c:v>
                </c:pt>
                <c:pt idx="22">
                  <c:v>271761.64253891422</c:v>
                </c:pt>
                <c:pt idx="23">
                  <c:v>181645.1722632235</c:v>
                </c:pt>
                <c:pt idx="24">
                  <c:v>86963.271815854823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362-4137-A372-D707A8C7AABA}"/>
            </c:ext>
          </c:extLst>
        </c:ser>
        <c:ser>
          <c:idx val="3"/>
          <c:order val="3"/>
          <c:tx>
            <c:strRef>
              <c:f>'Mitigacion VE@20% (al 2050)'!$L$48</c:f>
              <c:strCache>
                <c:ptCount val="1"/>
                <c:pt idx="0">
                  <c:v>Acumulado Vehículos eléctricos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2050)'!$B$55:$B$86</c:f>
              <c:numCache>
                <c:formatCode>General</c:formatCode>
                <c:ptCount val="3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</c:numCache>
            </c:numRef>
          </c:xVal>
          <c:yVal>
            <c:numRef>
              <c:f>'Mitigacion VE@20% (al 2050)'!$L$55:$L$86</c:f>
              <c:numCache>
                <c:formatCode>#,##0</c:formatCode>
                <c:ptCount val="32"/>
                <c:pt idx="0">
                  <c:v>479</c:v>
                </c:pt>
                <c:pt idx="1">
                  <c:v>1573.9194805194709</c:v>
                </c:pt>
                <c:pt idx="2">
                  <c:v>3919.727272727273</c:v>
                </c:pt>
                <c:pt idx="3">
                  <c:v>7672.3922077921643</c:v>
                </c:pt>
                <c:pt idx="4">
                  <c:v>12987.883116883073</c:v>
                </c:pt>
                <c:pt idx="5">
                  <c:v>20022.168831168688</c:v>
                </c:pt>
                <c:pt idx="6">
                  <c:v>28931.218181818011</c:v>
                </c:pt>
                <c:pt idx="7">
                  <c:v>39870.999999999658</c:v>
                </c:pt>
                <c:pt idx="8">
                  <c:v>52997.483116882693</c:v>
                </c:pt>
                <c:pt idx="9">
                  <c:v>68466.636363635989</c:v>
                </c:pt>
                <c:pt idx="10">
                  <c:v>86434.428571428056</c:v>
                </c:pt>
                <c:pt idx="11">
                  <c:v>107056.82857142805</c:v>
                </c:pt>
                <c:pt idx="12">
                  <c:v>130489.80519480444</c:v>
                </c:pt>
                <c:pt idx="13">
                  <c:v>156889.32727272646</c:v>
                </c:pt>
                <c:pt idx="14">
                  <c:v>186411.36363636248</c:v>
                </c:pt>
                <c:pt idx="15">
                  <c:v>219211.88311688183</c:v>
                </c:pt>
                <c:pt idx="16">
                  <c:v>255446.85454545333</c:v>
                </c:pt>
                <c:pt idx="17">
                  <c:v>295272.2467532453</c:v>
                </c:pt>
                <c:pt idx="18">
                  <c:v>338844.0285714271</c:v>
                </c:pt>
                <c:pt idx="19">
                  <c:v>382074.58488118014</c:v>
                </c:pt>
                <c:pt idx="20">
                  <c:v>395856.95758100436</c:v>
                </c:pt>
                <c:pt idx="21">
                  <c:v>410222.95739577047</c:v>
                </c:pt>
                <c:pt idx="22">
                  <c:v>425162.53751423588</c:v>
                </c:pt>
                <c:pt idx="23">
                  <c:v>440665.65112493484</c:v>
                </c:pt>
                <c:pt idx="24">
                  <c:v>456722.25141623901</c:v>
                </c:pt>
                <c:pt idx="25">
                  <c:v>473322.29157698166</c:v>
                </c:pt>
                <c:pt idx="26">
                  <c:v>490455.72479569056</c:v>
                </c:pt>
                <c:pt idx="27">
                  <c:v>508112.50426082837</c:v>
                </c:pt>
                <c:pt idx="28">
                  <c:v>526282.58316096617</c:v>
                </c:pt>
                <c:pt idx="29">
                  <c:v>544955.91468480078</c:v>
                </c:pt>
                <c:pt idx="30">
                  <c:v>564122.45202091185</c:v>
                </c:pt>
                <c:pt idx="31">
                  <c:v>583772.14835761033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362-4137-A372-D707A8C7A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7159584"/>
        <c:axId val="837162536"/>
      </c:scatterChart>
      <c:valAx>
        <c:axId val="837159584"/>
        <c:scaling>
          <c:orientation val="minMax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62536"/>
        <c:crosses val="autoZero"/>
        <c:crossBetween val="midCat"/>
        <c:majorUnit val="2"/>
      </c:valAx>
      <c:valAx>
        <c:axId val="8371625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59584"/>
        <c:crosses val="autoZero"/>
        <c:crossBetween val="midCat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forward val="20"/>
            <c:dispRSqr val="0"/>
            <c:dispEq val="1"/>
            <c:trendlineLbl>
              <c:numFmt formatCode="0.000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'Mitigacion VE@20% (al 2050)'!$B$135:$B$151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xVal>
          <c:yVal>
            <c:numRef>
              <c:f>'Mitigacion VE@20% (al 2050)'!$C$135:$C$151</c:f>
              <c:numCache>
                <c:formatCode>#,##0</c:formatCode>
                <c:ptCount val="17"/>
                <c:pt idx="0">
                  <c:v>976651.16433813574</c:v>
                </c:pt>
                <c:pt idx="1">
                  <c:v>1019571.4085290028</c:v>
                </c:pt>
                <c:pt idx="2">
                  <c:v>1117970.6924468274</c:v>
                </c:pt>
                <c:pt idx="3">
                  <c:v>1053030.9082251894</c:v>
                </c:pt>
                <c:pt idx="4">
                  <c:v>1166385.7116395417</c:v>
                </c:pt>
                <c:pt idx="5">
                  <c:v>1206991.5861911501</c:v>
                </c:pt>
                <c:pt idx="6">
                  <c:v>1247784.1313553418</c:v>
                </c:pt>
                <c:pt idx="7">
                  <c:v>1288748.2711188961</c:v>
                </c:pt>
                <c:pt idx="8">
                  <c:v>1329857.3224403893</c:v>
                </c:pt>
                <c:pt idx="9">
                  <c:v>1371090.8945916586</c:v>
                </c:pt>
                <c:pt idx="10">
                  <c:v>1412434.5035978679</c:v>
                </c:pt>
                <c:pt idx="11">
                  <c:v>1453842.0175012546</c:v>
                </c:pt>
                <c:pt idx="12">
                  <c:v>1495296.6218874408</c:v>
                </c:pt>
                <c:pt idx="13">
                  <c:v>1536770.45903657</c:v>
                </c:pt>
                <c:pt idx="14">
                  <c:v>1578233.9588539612</c:v>
                </c:pt>
                <c:pt idx="15">
                  <c:v>1619667.6062884759</c:v>
                </c:pt>
                <c:pt idx="16">
                  <c:v>1661026.0804002865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93-414C-9016-6DF21892C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4508744"/>
        <c:axId val="834503824"/>
      </c:scatterChart>
      <c:valAx>
        <c:axId val="834508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4503824"/>
        <c:crosses val="autoZero"/>
        <c:crossBetween val="midCat"/>
      </c:valAx>
      <c:valAx>
        <c:axId val="83450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4508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'Mitigacion VE@20% (al 2050)'!$C$192</c:f>
          <c:strCache>
            <c:ptCount val="1"/>
            <c:pt idx="0">
              <c:v>Emisiones de Autos Inventario Chihuahua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forward val="20"/>
            <c:dispRSqr val="0"/>
            <c:dispEq val="0"/>
          </c:trendline>
          <c:xVal>
            <c:numRef>
              <c:f>'Mitigacion VE@20% (al 2050)'!$B$197:$B$210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xVal>
          <c:yVal>
            <c:numRef>
              <c:f>'Mitigacion VE@20% (al 2050)'!$C$197:$C$210</c:f>
              <c:numCache>
                <c:formatCode>#,##0</c:formatCode>
                <c:ptCount val="14"/>
                <c:pt idx="0">
                  <c:v>4774.6817019902828</c:v>
                </c:pt>
                <c:pt idx="1">
                  <c:v>4784.7519434793039</c:v>
                </c:pt>
                <c:pt idx="2">
                  <c:v>4809.2963508437269</c:v>
                </c:pt>
                <c:pt idx="3">
                  <c:v>4845.536453345142</c:v>
                </c:pt>
                <c:pt idx="4">
                  <c:v>4893.1151305214926</c:v>
                </c:pt>
                <c:pt idx="5">
                  <c:v>4952.0423023853336</c:v>
                </c:pt>
                <c:pt idx="6">
                  <c:v>5022.1493287186813</c:v>
                </c:pt>
                <c:pt idx="7">
                  <c:v>5103.1187691104178</c:v>
                </c:pt>
                <c:pt idx="8">
                  <c:v>5195.5160642926385</c:v>
                </c:pt>
                <c:pt idx="9">
                  <c:v>5299.0832939312513</c:v>
                </c:pt>
                <c:pt idx="10">
                  <c:v>5413.8700580907316</c:v>
                </c:pt>
                <c:pt idx="11">
                  <c:v>5539.9656368863471</c:v>
                </c:pt>
                <c:pt idx="12">
                  <c:v>5677.2013900999818</c:v>
                </c:pt>
                <c:pt idx="13">
                  <c:v>5826.0534783480334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7-4E20-A452-29516994CAE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'Mitigacion VE@20% (al 2050)'!$B$211:$B$230</c:f>
              <c:numCache>
                <c:formatCode>General</c:formatCode>
                <c:ptCount val="20"/>
                <c:pt idx="0">
                  <c:v>2031</c:v>
                </c:pt>
                <c:pt idx="1">
                  <c:v>2032</c:v>
                </c:pt>
                <c:pt idx="2">
                  <c:v>2033</c:v>
                </c:pt>
                <c:pt idx="3">
                  <c:v>2034</c:v>
                </c:pt>
                <c:pt idx="4">
                  <c:v>2035</c:v>
                </c:pt>
                <c:pt idx="5">
                  <c:v>2036</c:v>
                </c:pt>
                <c:pt idx="6">
                  <c:v>2037</c:v>
                </c:pt>
                <c:pt idx="7">
                  <c:v>2038</c:v>
                </c:pt>
                <c:pt idx="8">
                  <c:v>2039</c:v>
                </c:pt>
                <c:pt idx="9">
                  <c:v>2040</c:v>
                </c:pt>
                <c:pt idx="10">
                  <c:v>2041</c:v>
                </c:pt>
                <c:pt idx="11">
                  <c:v>2042</c:v>
                </c:pt>
                <c:pt idx="12">
                  <c:v>2043</c:v>
                </c:pt>
                <c:pt idx="13">
                  <c:v>2044</c:v>
                </c:pt>
                <c:pt idx="14">
                  <c:v>2045</c:v>
                </c:pt>
                <c:pt idx="15">
                  <c:v>2046</c:v>
                </c:pt>
                <c:pt idx="16">
                  <c:v>2047</c:v>
                </c:pt>
                <c:pt idx="17">
                  <c:v>2048</c:v>
                </c:pt>
                <c:pt idx="18">
                  <c:v>2049</c:v>
                </c:pt>
                <c:pt idx="19">
                  <c:v>2050</c:v>
                </c:pt>
              </c:numCache>
            </c:numRef>
          </c:xVal>
          <c:yVal>
            <c:numRef>
              <c:f>'Mitigacion VE@20% (al 2050)'!$C$211:$C$230</c:f>
              <c:numCache>
                <c:formatCode>#,##0</c:formatCode>
                <c:ptCount val="20"/>
                <c:pt idx="0">
                  <c:v>5986.5304813012481</c:v>
                </c:pt>
                <c:pt idx="1">
                  <c:v>6157.9916860498488</c:v>
                </c:pt>
                <c:pt idx="2">
                  <c:v>6340.7535723261535</c:v>
                </c:pt>
                <c:pt idx="3">
                  <c:v>6534.8161401487887</c:v>
                </c:pt>
                <c:pt idx="4">
                  <c:v>6740.179389514029</c:v>
                </c:pt>
                <c:pt idx="5">
                  <c:v>6956.8433204069734</c:v>
                </c:pt>
                <c:pt idx="6">
                  <c:v>7184.8079328499734</c:v>
                </c:pt>
                <c:pt idx="7">
                  <c:v>7424.0732268206775</c:v>
                </c:pt>
                <c:pt idx="8">
                  <c:v>7674.6392023414373</c:v>
                </c:pt>
                <c:pt idx="9">
                  <c:v>7936.5058593973517</c:v>
                </c:pt>
                <c:pt idx="10">
                  <c:v>8209.6731979884207</c:v>
                </c:pt>
                <c:pt idx="11">
                  <c:v>8494.1412181220949</c:v>
                </c:pt>
                <c:pt idx="12">
                  <c:v>8789.9099197983742</c:v>
                </c:pt>
                <c:pt idx="13">
                  <c:v>9096.9793030060828</c:v>
                </c:pt>
                <c:pt idx="14">
                  <c:v>9415.3493677601218</c:v>
                </c:pt>
                <c:pt idx="15">
                  <c:v>9745.0201140493155</c:v>
                </c:pt>
                <c:pt idx="16">
                  <c:v>10085.991541873664</c:v>
                </c:pt>
                <c:pt idx="17">
                  <c:v>10438.263651244342</c:v>
                </c:pt>
                <c:pt idx="18">
                  <c:v>10801.836442153901</c:v>
                </c:pt>
                <c:pt idx="19">
                  <c:v>11176.709914594889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697-4E20-A452-29516994C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6306384"/>
        <c:axId val="806307040"/>
      </c:scatterChart>
      <c:valAx>
        <c:axId val="806306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06307040"/>
        <c:crosses val="autoZero"/>
        <c:crossBetween val="midCat"/>
      </c:valAx>
      <c:valAx>
        <c:axId val="806307040"/>
        <c:scaling>
          <c:orientation val="minMax"/>
          <c:min val="4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0630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3"/>
          <c:order val="0"/>
          <c:tx>
            <c:strRef>
              <c:f>'Mitigacion VE@20% (al 2050)'!$C$192</c:f>
              <c:strCache>
                <c:ptCount val="1"/>
                <c:pt idx="0">
                  <c:v>Emisiones de Autos Inventario Chihuahua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2050)'!$B$193:$B$230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2050)'!$C$193:$C$230</c:f>
              <c:numCache>
                <c:formatCode>#,##0</c:formatCode>
                <c:ptCount val="38"/>
                <c:pt idx="0">
                  <c:v>4488.9048500498293</c:v>
                </c:pt>
                <c:pt idx="1">
                  <c:v>4409.1759291458902</c:v>
                </c:pt>
                <c:pt idx="2">
                  <c:v>4697.8044143992256</c:v>
                </c:pt>
                <c:pt idx="3">
                  <c:v>4861.015568828896</c:v>
                </c:pt>
                <c:pt idx="4">
                  <c:v>4774.6817019902828</c:v>
                </c:pt>
                <c:pt idx="5">
                  <c:v>4784.7519434793039</c:v>
                </c:pt>
                <c:pt idx="6">
                  <c:v>4809.2963508437269</c:v>
                </c:pt>
                <c:pt idx="7">
                  <c:v>4845.536453345142</c:v>
                </c:pt>
                <c:pt idx="8">
                  <c:v>4893.1151305214926</c:v>
                </c:pt>
                <c:pt idx="9">
                  <c:v>4952.0423023853336</c:v>
                </c:pt>
                <c:pt idx="10">
                  <c:v>5022.1493287186813</c:v>
                </c:pt>
                <c:pt idx="11">
                  <c:v>5103.1187691104178</c:v>
                </c:pt>
                <c:pt idx="12">
                  <c:v>5195.5160642926385</c:v>
                </c:pt>
                <c:pt idx="13">
                  <c:v>5299.0832939312513</c:v>
                </c:pt>
                <c:pt idx="14">
                  <c:v>5413.8700580907316</c:v>
                </c:pt>
                <c:pt idx="15">
                  <c:v>5539.9656368863471</c:v>
                </c:pt>
                <c:pt idx="16">
                  <c:v>5677.2013900999818</c:v>
                </c:pt>
                <c:pt idx="17">
                  <c:v>5826.0534783480334</c:v>
                </c:pt>
                <c:pt idx="18">
                  <c:v>5986.5304813012481</c:v>
                </c:pt>
                <c:pt idx="19">
                  <c:v>6157.9916860498488</c:v>
                </c:pt>
                <c:pt idx="20">
                  <c:v>6340.7535723261535</c:v>
                </c:pt>
                <c:pt idx="21">
                  <c:v>6534.8161401487887</c:v>
                </c:pt>
                <c:pt idx="22">
                  <c:v>6740.179389514029</c:v>
                </c:pt>
                <c:pt idx="23">
                  <c:v>6956.8433204069734</c:v>
                </c:pt>
                <c:pt idx="24">
                  <c:v>7184.8079328499734</c:v>
                </c:pt>
                <c:pt idx="25">
                  <c:v>7424.0732268206775</c:v>
                </c:pt>
                <c:pt idx="26">
                  <c:v>7674.6392023414373</c:v>
                </c:pt>
                <c:pt idx="27">
                  <c:v>7936.5058593973517</c:v>
                </c:pt>
                <c:pt idx="28">
                  <c:v>8209.6731979884207</c:v>
                </c:pt>
                <c:pt idx="29">
                  <c:v>8494.1412181220949</c:v>
                </c:pt>
                <c:pt idx="30">
                  <c:v>8789.9099197983742</c:v>
                </c:pt>
                <c:pt idx="31">
                  <c:v>9096.9793030060828</c:v>
                </c:pt>
                <c:pt idx="32">
                  <c:v>9415.3493677601218</c:v>
                </c:pt>
                <c:pt idx="33">
                  <c:v>9745.0201140493155</c:v>
                </c:pt>
                <c:pt idx="34">
                  <c:v>10085.991541873664</c:v>
                </c:pt>
                <c:pt idx="35">
                  <c:v>10438.263651244342</c:v>
                </c:pt>
                <c:pt idx="36">
                  <c:v>10801.836442153901</c:v>
                </c:pt>
                <c:pt idx="37">
                  <c:v>11176.709914594889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D04-4D1E-9257-6AA0A0FBB9F1}"/>
            </c:ext>
          </c:extLst>
        </c:ser>
        <c:ser>
          <c:idx val="4"/>
          <c:order val="1"/>
          <c:tx>
            <c:strRef>
              <c:f>'Mitigacion VE@20% (al 2050)'!$G$133</c:f>
              <c:strCache>
                <c:ptCount val="1"/>
                <c:pt idx="0">
                  <c:v>Emisiones de autos posteriores a 2018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2050)'!$G$134:$G$171</c:f>
              <c:numCache>
                <c:formatCode>#,##0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211.03084412307703</c:v>
                </c:pt>
                <c:pt idx="6">
                  <c:v>432.48301783958181</c:v>
                </c:pt>
                <c:pt idx="7">
                  <c:v>661.22195358910813</c:v>
                </c:pt>
                <c:pt idx="8">
                  <c:v>895.5649195831428</c:v>
                </c:pt>
                <c:pt idx="9">
                  <c:v>1135.0813846739843</c:v>
                </c:pt>
                <c:pt idx="10">
                  <c:v>1379.4603908839624</c:v>
                </c:pt>
                <c:pt idx="11">
                  <c:v>1628.4931474550287</c:v>
                </c:pt>
                <c:pt idx="12">
                  <c:v>1882.1392180611833</c:v>
                </c:pt>
                <c:pt idx="13">
                  <c:v>2140.4653937256212</c:v>
                </c:pt>
                <c:pt idx="14">
                  <c:v>2403.6754994393427</c:v>
                </c:pt>
                <c:pt idx="15">
                  <c:v>2672.1255449971932</c:v>
                </c:pt>
                <c:pt idx="16">
                  <c:v>2946.3134530103207</c:v>
                </c:pt>
                <c:pt idx="17">
                  <c:v>3226.9799785294817</c:v>
                </c:pt>
                <c:pt idx="18">
                  <c:v>3512.6772478949083</c:v>
                </c:pt>
                <c:pt idx="19">
                  <c:v>3802.874585361621</c:v>
                </c:pt>
                <c:pt idx="20">
                  <c:v>4097.0413151846305</c:v>
                </c:pt>
                <c:pt idx="21">
                  <c:v>4394.6467616189584</c:v>
                </c:pt>
                <c:pt idx="22">
                  <c:v>4695.1602489196202</c:v>
                </c:pt>
                <c:pt idx="23">
                  <c:v>4998.0511013416271</c:v>
                </c:pt>
                <c:pt idx="24">
                  <c:v>5302.7886431399993</c:v>
                </c:pt>
                <c:pt idx="25">
                  <c:v>5581.4849057667125</c:v>
                </c:pt>
                <c:pt idx="26">
                  <c:v>5663.5490526818649</c:v>
                </c:pt>
                <c:pt idx="27">
                  <c:v>5742.6873859777079</c:v>
                </c:pt>
                <c:pt idx="28">
                  <c:v>5818.9340894027118</c:v>
                </c:pt>
                <c:pt idx="29">
                  <c:v>5892.3233467040791</c:v>
                </c:pt>
                <c:pt idx="30">
                  <c:v>5962.8893416283481</c:v>
                </c:pt>
                <c:pt idx="31">
                  <c:v>6030.6662579241356</c:v>
                </c:pt>
                <c:pt idx="32">
                  <c:v>6095.6882793386667</c:v>
                </c:pt>
                <c:pt idx="33">
                  <c:v>6157.989589618981</c:v>
                </c:pt>
                <c:pt idx="34">
                  <c:v>6217.6043725125601</c:v>
                </c:pt>
                <c:pt idx="35">
                  <c:v>6274.5668117672694</c:v>
                </c:pt>
                <c:pt idx="36">
                  <c:v>6328.9110911305625</c:v>
                </c:pt>
                <c:pt idx="37">
                  <c:v>6380.6713943491841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D04-4D1E-9257-6AA0A0FBB9F1}"/>
            </c:ext>
          </c:extLst>
        </c:ser>
        <c:ser>
          <c:idx val="5"/>
          <c:order val="2"/>
          <c:tx>
            <c:strRef>
              <c:f>'Mitigacion VE@20% (al 2050)'!$H$133</c:f>
              <c:strCache>
                <c:ptCount val="1"/>
                <c:pt idx="0">
                  <c:v>Emisiones de autos anteriores a 2018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2050)'!$H$134:$H$171</c:f>
              <c:numCache>
                <c:formatCode>#,##0</c:formatCode>
                <c:ptCount val="3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4572.9047607923612</c:v>
                </c:pt>
                <c:pt idx="6">
                  <c:v>4374.8827982689982</c:v>
                </c:pt>
                <c:pt idx="7">
                  <c:v>4178.1480588033046</c:v>
                </c:pt>
                <c:pt idx="8">
                  <c:v>3982.5406391933921</c:v>
                </c:pt>
                <c:pt idx="9">
                  <c:v>3788.1330883649975</c:v>
                </c:pt>
                <c:pt idx="10">
                  <c:v>3594.6941276091529</c:v>
                </c:pt>
                <c:pt idx="11">
                  <c:v>3401.7275357727162</c:v>
                </c:pt>
                <c:pt idx="12">
                  <c:v>3209.4200578255795</c:v>
                </c:pt>
                <c:pt idx="13">
                  <c:v>3016.9885445153573</c:v>
                </c:pt>
                <c:pt idx="14">
                  <c:v>2823.7634828396313</c:v>
                </c:pt>
                <c:pt idx="15">
                  <c:v>2628.8861810769477</c:v>
                </c:pt>
                <c:pt idx="16">
                  <c:v>2431.0033800523147</c:v>
                </c:pt>
                <c:pt idx="17">
                  <c:v>2229.0223114014152</c:v>
                </c:pt>
                <c:pt idx="18">
                  <c:v>1995.7845372202291</c:v>
                </c:pt>
                <c:pt idx="19">
                  <c:v>1751.3025308866104</c:v>
                </c:pt>
                <c:pt idx="20">
                  <c:v>1491.286888510172</c:v>
                </c:pt>
                <c:pt idx="21">
                  <c:v>1215.7376100921254</c:v>
                </c:pt>
                <c:pt idx="22">
                  <c:v>924.65469563165902</c:v>
                </c:pt>
                <c:pt idx="23">
                  <c:v>618.03814512918518</c:v>
                </c:pt>
                <c:pt idx="24">
                  <c:v>295.88795858307424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D04-4D1E-9257-6AA0A0FBB9F1}"/>
            </c:ext>
          </c:extLst>
        </c:ser>
        <c:ser>
          <c:idx val="6"/>
          <c:order val="3"/>
          <c:tx>
            <c:strRef>
              <c:f>'Mitigacion VE@20% (al 2050)'!$I$133</c:f>
              <c:strCache>
                <c:ptCount val="1"/>
                <c:pt idx="0">
                  <c:v>Emisiones de autos anteriores y posteriores a 2018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2050)'!$I$134:$I$171</c:f>
              <c:numCache>
                <c:formatCode>#,##0</c:formatCode>
                <c:ptCount val="3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4783.9356049154385</c:v>
                </c:pt>
                <c:pt idx="6">
                  <c:v>4807.3658161085796</c:v>
                </c:pt>
                <c:pt idx="7">
                  <c:v>4839.3700123924127</c:v>
                </c:pt>
                <c:pt idx="8">
                  <c:v>4878.105558776535</c:v>
                </c:pt>
                <c:pt idx="9">
                  <c:v>4923.2144730389819</c:v>
                </c:pt>
                <c:pt idx="10">
                  <c:v>4974.1545184931156</c:v>
                </c:pt>
                <c:pt idx="11">
                  <c:v>5030.2206832277452</c:v>
                </c:pt>
                <c:pt idx="12">
                  <c:v>5091.5592758867624</c:v>
                </c:pt>
                <c:pt idx="13">
                  <c:v>5157.4539382409785</c:v>
                </c:pt>
                <c:pt idx="14">
                  <c:v>5227.4389822789744</c:v>
                </c:pt>
                <c:pt idx="15">
                  <c:v>5301.0117260741408</c:v>
                </c:pt>
                <c:pt idx="16">
                  <c:v>5377.3168330626359</c:v>
                </c:pt>
                <c:pt idx="17">
                  <c:v>5456.0022899308969</c:v>
                </c:pt>
                <c:pt idx="18">
                  <c:v>5508.4617851151379</c:v>
                </c:pt>
                <c:pt idx="19">
                  <c:v>5554.177116248231</c:v>
                </c:pt>
                <c:pt idx="20">
                  <c:v>5588.3282036948021</c:v>
                </c:pt>
                <c:pt idx="21">
                  <c:v>5610.384371711084</c:v>
                </c:pt>
                <c:pt idx="22">
                  <c:v>5619.814944551279</c:v>
                </c:pt>
                <c:pt idx="23">
                  <c:v>5616.0892464708122</c:v>
                </c:pt>
                <c:pt idx="24">
                  <c:v>5598.6766017230739</c:v>
                </c:pt>
                <c:pt idx="25">
                  <c:v>5581.4849057667125</c:v>
                </c:pt>
                <c:pt idx="26">
                  <c:v>5663.5490526818649</c:v>
                </c:pt>
                <c:pt idx="27">
                  <c:v>5742.6873859777079</c:v>
                </c:pt>
                <c:pt idx="28">
                  <c:v>5818.9340894027118</c:v>
                </c:pt>
                <c:pt idx="29">
                  <c:v>5892.3233467040791</c:v>
                </c:pt>
                <c:pt idx="30">
                  <c:v>5962.8893416283481</c:v>
                </c:pt>
                <c:pt idx="31">
                  <c:v>6030.6662579241356</c:v>
                </c:pt>
                <c:pt idx="32">
                  <c:v>6095.6882793386667</c:v>
                </c:pt>
                <c:pt idx="33">
                  <c:v>6157.989589618981</c:v>
                </c:pt>
                <c:pt idx="34">
                  <c:v>6217.6043725125601</c:v>
                </c:pt>
                <c:pt idx="35">
                  <c:v>6274.5668117672694</c:v>
                </c:pt>
                <c:pt idx="36">
                  <c:v>6328.9110911305625</c:v>
                </c:pt>
                <c:pt idx="37">
                  <c:v>6380.6713943491841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D04-4D1E-9257-6AA0A0FBB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813968"/>
        <c:axId val="487815280"/>
      </c:scatterChart>
      <c:valAx>
        <c:axId val="487813968"/>
        <c:scaling>
          <c:orientation val="minMax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5280"/>
        <c:crosses val="autoZero"/>
        <c:crossBetween val="midCat"/>
        <c:majorUnit val="2"/>
      </c:valAx>
      <c:valAx>
        <c:axId val="4878152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'Mitigacion VE@20% (al 2050)'!$C$48</c:f>
              <c:strCache>
                <c:ptCount val="1"/>
                <c:pt idx="0">
                  <c:v>Autos [1]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2050)'!$B$49:$B$86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2050)'!$C$49:$C$86</c:f>
              <c:numCache>
                <c:formatCode>#,##0</c:formatCode>
                <c:ptCount val="3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1166385.7116395417</c:v>
                </c:pt>
                <c:pt idx="6">
                  <c:v>1206991.5861911501</c:v>
                </c:pt>
                <c:pt idx="7">
                  <c:v>1247784.1313553418</c:v>
                </c:pt>
                <c:pt idx="8">
                  <c:v>1288748.2711188961</c:v>
                </c:pt>
                <c:pt idx="9">
                  <c:v>1329857.3224403893</c:v>
                </c:pt>
                <c:pt idx="10">
                  <c:v>1371090.8945916586</c:v>
                </c:pt>
                <c:pt idx="11">
                  <c:v>1412434.5035978679</c:v>
                </c:pt>
                <c:pt idx="12">
                  <c:v>1453842.0175012546</c:v>
                </c:pt>
                <c:pt idx="13">
                  <c:v>1495296.6218874408</c:v>
                </c:pt>
                <c:pt idx="14">
                  <c:v>1536770.45903657</c:v>
                </c:pt>
                <c:pt idx="15">
                  <c:v>1578233.9588539612</c:v>
                </c:pt>
                <c:pt idx="16">
                  <c:v>1619667.6062884759</c:v>
                </c:pt>
                <c:pt idx="17">
                  <c:v>1661026.0804002865</c:v>
                </c:pt>
                <c:pt idx="18">
                  <c:v>1699877.2219293118</c:v>
                </c:pt>
                <c:pt idx="19">
                  <c:v>1739712.7580529451</c:v>
                </c:pt>
                <c:pt idx="20">
                  <c:v>1779272.0068622828</c:v>
                </c:pt>
                <c:pt idx="21">
                  <c:v>1818554.9683576822</c:v>
                </c:pt>
                <c:pt idx="22">
                  <c:v>1857561.6425389051</c:v>
                </c:pt>
                <c:pt idx="23">
                  <c:v>1896292.0294060707</c:v>
                </c:pt>
                <c:pt idx="24">
                  <c:v>1934746.1289587021</c:v>
                </c:pt>
                <c:pt idx="25">
                  <c:v>1972923.9411973953</c:v>
                </c:pt>
                <c:pt idx="26">
                  <c:v>2010825.466121912</c:v>
                </c:pt>
                <c:pt idx="27">
                  <c:v>2048450.7037320137</c:v>
                </c:pt>
                <c:pt idx="28">
                  <c:v>2085799.6540281773</c:v>
                </c:pt>
                <c:pt idx="29">
                  <c:v>2122872.3170102835</c:v>
                </c:pt>
                <c:pt idx="30">
                  <c:v>2159668.6926778555</c:v>
                </c:pt>
                <c:pt idx="31">
                  <c:v>2196188.7810314894</c:v>
                </c:pt>
                <c:pt idx="32">
                  <c:v>2232432.5820710659</c:v>
                </c:pt>
                <c:pt idx="33">
                  <c:v>2268400.0957963467</c:v>
                </c:pt>
                <c:pt idx="34">
                  <c:v>2304091.3222073317</c:v>
                </c:pt>
                <c:pt idx="35">
                  <c:v>2339506.2613042593</c:v>
                </c:pt>
                <c:pt idx="36">
                  <c:v>2374644.9130871296</c:v>
                </c:pt>
                <c:pt idx="37">
                  <c:v>2409507.2775554657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D08-4A2E-9FD8-3869C09295D6}"/>
            </c:ext>
          </c:extLst>
        </c:ser>
        <c:ser>
          <c:idx val="2"/>
          <c:order val="2"/>
          <c:tx>
            <c:strRef>
              <c:f>'Mitigacion VE@20% (al 2050)'!$E$48</c:f>
              <c:strCache>
                <c:ptCount val="1"/>
                <c:pt idx="0">
                  <c:v>Acumulado de autos nuevos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2050)'!$B$49:$B$86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2050)'!$E$49:$E$86</c:f>
              <c:numCache>
                <c:formatCode>#,##0</c:formatCode>
                <c:ptCount val="38"/>
                <c:pt idx="5">
                  <c:v>51642.285714285448</c:v>
                </c:pt>
                <c:pt idx="6">
                  <c:v>107573.71428571269</c:v>
                </c:pt>
                <c:pt idx="7">
                  <c:v>167794.28571428359</c:v>
                </c:pt>
                <c:pt idx="8">
                  <c:v>232303.99999999814</c:v>
                </c:pt>
                <c:pt idx="9">
                  <c:v>301102.85714285448</c:v>
                </c:pt>
                <c:pt idx="10">
                  <c:v>374190.85714285448</c:v>
                </c:pt>
                <c:pt idx="11">
                  <c:v>451567.99999999627</c:v>
                </c:pt>
                <c:pt idx="12">
                  <c:v>533234.28571428172</c:v>
                </c:pt>
                <c:pt idx="13">
                  <c:v>619189.71428570896</c:v>
                </c:pt>
                <c:pt idx="14">
                  <c:v>709434.28571427986</c:v>
                </c:pt>
                <c:pt idx="15">
                  <c:v>803967.99999999441</c:v>
                </c:pt>
                <c:pt idx="16">
                  <c:v>902790.85714285076</c:v>
                </c:pt>
                <c:pt idx="17">
                  <c:v>1005902.8571428508</c:v>
                </c:pt>
                <c:pt idx="18">
                  <c:v>1113303.9999999925</c:v>
                </c:pt>
                <c:pt idx="19">
                  <c:v>1224994.285714278</c:v>
                </c:pt>
                <c:pt idx="20">
                  <c:v>1340973.7142857052</c:v>
                </c:pt>
                <c:pt idx="21">
                  <c:v>1461242.2857142761</c:v>
                </c:pt>
                <c:pt idx="22">
                  <c:v>1585799.9999999907</c:v>
                </c:pt>
                <c:pt idx="23">
                  <c:v>1714646.857142847</c:v>
                </c:pt>
                <c:pt idx="24">
                  <c:v>1847782.857142847</c:v>
                </c:pt>
                <c:pt idx="25">
                  <c:v>1972923.9411973953</c:v>
                </c:pt>
                <c:pt idx="26">
                  <c:v>2010825.466121912</c:v>
                </c:pt>
                <c:pt idx="27">
                  <c:v>2048450.7037320137</c:v>
                </c:pt>
                <c:pt idx="28">
                  <c:v>2085799.6540281773</c:v>
                </c:pt>
                <c:pt idx="29">
                  <c:v>2122872.3170102835</c:v>
                </c:pt>
                <c:pt idx="30">
                  <c:v>2159668.6926778555</c:v>
                </c:pt>
                <c:pt idx="31">
                  <c:v>2196188.7810314894</c:v>
                </c:pt>
                <c:pt idx="32">
                  <c:v>2232432.5820710659</c:v>
                </c:pt>
                <c:pt idx="33">
                  <c:v>2268400.0957963467</c:v>
                </c:pt>
                <c:pt idx="34">
                  <c:v>2304091.3222073317</c:v>
                </c:pt>
                <c:pt idx="35">
                  <c:v>2339506.2613042593</c:v>
                </c:pt>
                <c:pt idx="36">
                  <c:v>2374644.9130871296</c:v>
                </c:pt>
                <c:pt idx="37">
                  <c:v>2409507.2775554657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D08-4A2E-9FD8-3869C0929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9823216"/>
        <c:axId val="939824856"/>
      </c:scatterChart>
      <c:scatterChart>
        <c:scatterStyle val="lineMarker"/>
        <c:varyColors val="0"/>
        <c:ser>
          <c:idx val="1"/>
          <c:order val="1"/>
          <c:tx>
            <c:strRef>
              <c:f>'Mitigacion VE@20% (al 2050)'!$D$48</c:f>
              <c:strCache>
                <c:ptCount val="1"/>
                <c:pt idx="0">
                  <c:v>Número de autos nuevos
[2]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 (al 2050)'!$B$49:$B$86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VE@20% (al 2050)'!$D$49:$D$86</c:f>
              <c:numCache>
                <c:formatCode>#,##0.0</c:formatCode>
                <c:ptCount val="38"/>
                <c:pt idx="0">
                  <c:v>28898</c:v>
                </c:pt>
                <c:pt idx="1">
                  <c:v>28300</c:v>
                </c:pt>
                <c:pt idx="2">
                  <c:v>37202</c:v>
                </c:pt>
                <c:pt idx="3">
                  <c:v>48314</c:v>
                </c:pt>
                <c:pt idx="4">
                  <c:v>47353.142857141793</c:v>
                </c:pt>
                <c:pt idx="5">
                  <c:v>51642.285714285448</c:v>
                </c:pt>
                <c:pt idx="6">
                  <c:v>55931.428571427241</c:v>
                </c:pt>
                <c:pt idx="7">
                  <c:v>60220.571428570896</c:v>
                </c:pt>
                <c:pt idx="8">
                  <c:v>64509.714285714552</c:v>
                </c:pt>
                <c:pt idx="9">
                  <c:v>68798.857142856345</c:v>
                </c:pt>
                <c:pt idx="10">
                  <c:v>73088</c:v>
                </c:pt>
                <c:pt idx="11">
                  <c:v>77377.142857141793</c:v>
                </c:pt>
                <c:pt idx="12">
                  <c:v>81666.285714285448</c:v>
                </c:pt>
                <c:pt idx="13">
                  <c:v>85955.428571427241</c:v>
                </c:pt>
                <c:pt idx="14">
                  <c:v>90244.571428570896</c:v>
                </c:pt>
                <c:pt idx="15">
                  <c:v>94533.714285714552</c:v>
                </c:pt>
                <c:pt idx="16">
                  <c:v>98822.857142856345</c:v>
                </c:pt>
                <c:pt idx="17">
                  <c:v>103112</c:v>
                </c:pt>
                <c:pt idx="18">
                  <c:v>107401.14285714179</c:v>
                </c:pt>
                <c:pt idx="19">
                  <c:v>111690.28571428545</c:v>
                </c:pt>
                <c:pt idx="20">
                  <c:v>115979.42857142724</c:v>
                </c:pt>
                <c:pt idx="21">
                  <c:v>120268.5714285709</c:v>
                </c:pt>
                <c:pt idx="22">
                  <c:v>124557.71428571455</c:v>
                </c:pt>
                <c:pt idx="23">
                  <c:v>128846.85714285634</c:v>
                </c:pt>
                <c:pt idx="24">
                  <c:v>133136</c:v>
                </c:pt>
                <c:pt idx="25">
                  <c:v>125141.08405454829</c:v>
                </c:pt>
                <c:pt idx="26">
                  <c:v>37901.524924516678</c:v>
                </c:pt>
                <c:pt idx="27">
                  <c:v>37625.2376101017</c:v>
                </c:pt>
                <c:pt idx="28">
                  <c:v>37348.950296163559</c:v>
                </c:pt>
                <c:pt idx="29">
                  <c:v>37072.662982106209</c:v>
                </c:pt>
                <c:pt idx="30">
                  <c:v>36796.375667572021</c:v>
                </c:pt>
                <c:pt idx="31">
                  <c:v>36520.088353633881</c:v>
                </c:pt>
                <c:pt idx="32">
                  <c:v>36243.80103957653</c:v>
                </c:pt>
                <c:pt idx="33">
                  <c:v>35967.513725280762</c:v>
                </c:pt>
                <c:pt idx="34">
                  <c:v>35691.226410984993</c:v>
                </c:pt>
                <c:pt idx="35">
                  <c:v>35414.939096927643</c:v>
                </c:pt>
                <c:pt idx="36">
                  <c:v>35138.651782870293</c:v>
                </c:pt>
                <c:pt idx="37">
                  <c:v>34862.364468336105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D08-4A2E-9FD8-3869C0929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9823216"/>
        <c:axId val="939824856"/>
      </c:scatterChart>
      <c:valAx>
        <c:axId val="939823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39824856"/>
        <c:crosses val="autoZero"/>
        <c:crossBetween val="midCat"/>
      </c:valAx>
      <c:valAx>
        <c:axId val="939824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39823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936280746395247E-2"/>
          <c:y val="3.4928492849284926E-2"/>
          <c:w val="0.94271287713558705"/>
          <c:h val="0.818773877387738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'Mitigacion NOM VE@20% (al 2050)'!$C$133</c:f>
              <c:strCache>
                <c:ptCount val="1"/>
                <c:pt idx="0">
                  <c:v>Autos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NOM VE@20% (al 2050)'!$C$134:$C$171</c:f>
              <c:numCache>
                <c:formatCode>#,##0</c:formatCode>
                <c:ptCount val="3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1166385.7116395417</c:v>
                </c:pt>
                <c:pt idx="6">
                  <c:v>1206991.5861911501</c:v>
                </c:pt>
                <c:pt idx="7">
                  <c:v>1247784.1313553418</c:v>
                </c:pt>
                <c:pt idx="8">
                  <c:v>1288748.2711188961</c:v>
                </c:pt>
                <c:pt idx="9">
                  <c:v>1329857.3224403893</c:v>
                </c:pt>
                <c:pt idx="10">
                  <c:v>1371090.8945916586</c:v>
                </c:pt>
                <c:pt idx="11">
                  <c:v>1412434.5035978679</c:v>
                </c:pt>
                <c:pt idx="12">
                  <c:v>1453842.0175012546</c:v>
                </c:pt>
                <c:pt idx="13">
                  <c:v>1495296.6218874408</c:v>
                </c:pt>
                <c:pt idx="14">
                  <c:v>1536770.45903657</c:v>
                </c:pt>
                <c:pt idx="15">
                  <c:v>1578233.9588539612</c:v>
                </c:pt>
                <c:pt idx="16">
                  <c:v>1619667.6062884759</c:v>
                </c:pt>
                <c:pt idx="17">
                  <c:v>1661026.0804002865</c:v>
                </c:pt>
                <c:pt idx="18">
                  <c:v>1699877.2219293118</c:v>
                </c:pt>
                <c:pt idx="19">
                  <c:v>1739712.7580529451</c:v>
                </c:pt>
                <c:pt idx="20">
                  <c:v>1779272.0068622828</c:v>
                </c:pt>
                <c:pt idx="21">
                  <c:v>1818554.9683576822</c:v>
                </c:pt>
                <c:pt idx="22">
                  <c:v>1857561.6425389051</c:v>
                </c:pt>
                <c:pt idx="23">
                  <c:v>1896292.0294060707</c:v>
                </c:pt>
                <c:pt idx="24">
                  <c:v>1934746.1289587021</c:v>
                </c:pt>
                <c:pt idx="25">
                  <c:v>1972923.9411973953</c:v>
                </c:pt>
                <c:pt idx="26">
                  <c:v>2010825.466121912</c:v>
                </c:pt>
                <c:pt idx="27">
                  <c:v>2048450.7037320137</c:v>
                </c:pt>
                <c:pt idx="28">
                  <c:v>2085799.6540281773</c:v>
                </c:pt>
                <c:pt idx="29">
                  <c:v>2122872.3170102835</c:v>
                </c:pt>
                <c:pt idx="30">
                  <c:v>2159668.6926778555</c:v>
                </c:pt>
                <c:pt idx="31">
                  <c:v>2196188.7810314894</c:v>
                </c:pt>
                <c:pt idx="32">
                  <c:v>2232432.5820710659</c:v>
                </c:pt>
                <c:pt idx="33">
                  <c:v>2268400.0957963467</c:v>
                </c:pt>
                <c:pt idx="34">
                  <c:v>2304091.3222073317</c:v>
                </c:pt>
                <c:pt idx="35">
                  <c:v>2339506.2613042593</c:v>
                </c:pt>
                <c:pt idx="36">
                  <c:v>2374644.9130871296</c:v>
                </c:pt>
                <c:pt idx="37">
                  <c:v>2409507.2775554657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3AC-4A7A-BF96-0958DB91CC45}"/>
            </c:ext>
          </c:extLst>
        </c:ser>
        <c:ser>
          <c:idx val="1"/>
          <c:order val="1"/>
          <c:tx>
            <c:strRef>
              <c:f>'Mitigacion NOM VE@20% (al 2050)'!$D$133</c:f>
              <c:strCache>
                <c:ptCount val="1"/>
                <c:pt idx="0">
                  <c:v>Autos posteriores a NOM163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NOM VE@20% (al 2050)'!$D$134:$D$171</c:f>
              <c:numCache>
                <c:formatCode>#,##0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51443.285714285448</c:v>
                </c:pt>
                <c:pt idx="6">
                  <c:v>107094.71428571269</c:v>
                </c:pt>
                <c:pt idx="7">
                  <c:v>166220.3662337641</c:v>
                </c:pt>
                <c:pt idx="8">
                  <c:v>228384.27272727084</c:v>
                </c:pt>
                <c:pt idx="9">
                  <c:v>293430.46493506228</c:v>
                </c:pt>
                <c:pt idx="10">
                  <c:v>361202.97402597137</c:v>
                </c:pt>
                <c:pt idx="11">
                  <c:v>431545.83116882754</c:v>
                </c:pt>
                <c:pt idx="12">
                  <c:v>504303.0675324637</c:v>
                </c:pt>
                <c:pt idx="13">
                  <c:v>579318.71428570931</c:v>
                </c:pt>
                <c:pt idx="14">
                  <c:v>656436.80259739712</c:v>
                </c:pt>
                <c:pt idx="15">
                  <c:v>735501.36363635841</c:v>
                </c:pt>
                <c:pt idx="16">
                  <c:v>816356.4285714227</c:v>
                </c:pt>
                <c:pt idx="17">
                  <c:v>898846.02857142268</c:v>
                </c:pt>
                <c:pt idx="18">
                  <c:v>982814.1948051881</c:v>
                </c:pt>
                <c:pt idx="19">
                  <c:v>1068104.9584415515</c:v>
                </c:pt>
                <c:pt idx="20">
                  <c:v>1154562.3506493429</c:v>
                </c:pt>
                <c:pt idx="21">
                  <c:v>1242030.4025973945</c:v>
                </c:pt>
                <c:pt idx="22">
                  <c:v>1330353.1454545376</c:v>
                </c:pt>
                <c:pt idx="23">
                  <c:v>1419374.6103896019</c:v>
                </c:pt>
                <c:pt idx="24">
                  <c:v>1508938.8285714202</c:v>
                </c:pt>
                <c:pt idx="25">
                  <c:v>1590849.3563162154</c:v>
                </c:pt>
                <c:pt idx="26">
                  <c:v>1614968.5085409079</c:v>
                </c:pt>
                <c:pt idx="27">
                  <c:v>1638227.7463362436</c:v>
                </c:pt>
                <c:pt idx="28">
                  <c:v>1660637.1165139417</c:v>
                </c:pt>
                <c:pt idx="29">
                  <c:v>1682206.6658853488</c:v>
                </c:pt>
                <c:pt idx="30">
                  <c:v>1702946.4412616168</c:v>
                </c:pt>
                <c:pt idx="31">
                  <c:v>1722866.4894545081</c:v>
                </c:pt>
                <c:pt idx="32">
                  <c:v>1741976.8572753756</c:v>
                </c:pt>
                <c:pt idx="33">
                  <c:v>1760287.5915355186</c:v>
                </c:pt>
                <c:pt idx="34">
                  <c:v>1777808.7390463657</c:v>
                </c:pt>
                <c:pt idx="35">
                  <c:v>1794550.3466194589</c:v>
                </c:pt>
                <c:pt idx="36">
                  <c:v>1810522.4610662181</c:v>
                </c:pt>
                <c:pt idx="37">
                  <c:v>1825735.1291978557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3AC-4A7A-BF96-0958DB91CC45}"/>
            </c:ext>
          </c:extLst>
        </c:ser>
        <c:ser>
          <c:idx val="2"/>
          <c:order val="2"/>
          <c:tx>
            <c:strRef>
              <c:f>'Mitigacion NOM VE@20% (al 2050)'!$E$133</c:f>
              <c:strCache>
                <c:ptCount val="1"/>
                <c:pt idx="0">
                  <c:v>Autos anteriores a NOM163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NOM VE@20% (al 2050)'!$E$134:$E$171</c:f>
              <c:numCache>
                <c:formatCode>#,##0</c:formatCode>
                <c:ptCount val="3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1114743.4259252562</c:v>
                </c:pt>
                <c:pt idx="6">
                  <c:v>1099417.8719054374</c:v>
                </c:pt>
                <c:pt idx="7">
                  <c:v>1079989.8456410584</c:v>
                </c:pt>
                <c:pt idx="8">
                  <c:v>1056444.2711188979</c:v>
                </c:pt>
                <c:pt idx="9">
                  <c:v>1028754.4652975349</c:v>
                </c:pt>
                <c:pt idx="10">
                  <c:v>996900.03744880413</c:v>
                </c:pt>
                <c:pt idx="11">
                  <c:v>960866.50359787163</c:v>
                </c:pt>
                <c:pt idx="12">
                  <c:v>920607.73178697284</c:v>
                </c:pt>
                <c:pt idx="13">
                  <c:v>876106.90760173183</c:v>
                </c:pt>
                <c:pt idx="14">
                  <c:v>827336.17332229018</c:v>
                </c:pt>
                <c:pt idx="15">
                  <c:v>774265.95885396679</c:v>
                </c:pt>
                <c:pt idx="16">
                  <c:v>716876.74914562516</c:v>
                </c:pt>
                <c:pt idx="17">
                  <c:v>655123.22325743572</c:v>
                </c:pt>
                <c:pt idx="18">
                  <c:v>586573.2219293192</c:v>
                </c:pt>
                <c:pt idx="19">
                  <c:v>514718.47233866714</c:v>
                </c:pt>
                <c:pt idx="20">
                  <c:v>438298.2925765774</c:v>
                </c:pt>
                <c:pt idx="21">
                  <c:v>357312.68264340586</c:v>
                </c:pt>
                <c:pt idx="22">
                  <c:v>271761.64253891422</c:v>
                </c:pt>
                <c:pt idx="23">
                  <c:v>181645.1722632235</c:v>
                </c:pt>
                <c:pt idx="24">
                  <c:v>86963.271815854823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3AC-4A7A-BF96-0958DB91CC45}"/>
            </c:ext>
          </c:extLst>
        </c:ser>
        <c:ser>
          <c:idx val="3"/>
          <c:order val="3"/>
          <c:tx>
            <c:strRef>
              <c:f>'Mitigacion NOM VE@20% (al 2050)'!$L$48</c:f>
              <c:strCache>
                <c:ptCount val="1"/>
                <c:pt idx="0">
                  <c:v>Acumulado Vehículos eléctricos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2050)'!$B$55:$B$86</c:f>
              <c:numCache>
                <c:formatCode>General</c:formatCode>
                <c:ptCount val="3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</c:numCache>
            </c:numRef>
          </c:xVal>
          <c:yVal>
            <c:numRef>
              <c:f>'Mitigacion NOM VE@20% (al 2050)'!$L$55:$L$86</c:f>
              <c:numCache>
                <c:formatCode>#,##0</c:formatCode>
                <c:ptCount val="32"/>
                <c:pt idx="0">
                  <c:v>479</c:v>
                </c:pt>
                <c:pt idx="1">
                  <c:v>1573.9194805194709</c:v>
                </c:pt>
                <c:pt idx="2">
                  <c:v>3919.727272727273</c:v>
                </c:pt>
                <c:pt idx="3">
                  <c:v>7672.3922077921643</c:v>
                </c:pt>
                <c:pt idx="4">
                  <c:v>12987.883116883073</c:v>
                </c:pt>
                <c:pt idx="5">
                  <c:v>20022.168831168688</c:v>
                </c:pt>
                <c:pt idx="6">
                  <c:v>28931.218181818011</c:v>
                </c:pt>
                <c:pt idx="7">
                  <c:v>39870.999999999658</c:v>
                </c:pt>
                <c:pt idx="8">
                  <c:v>52997.483116882693</c:v>
                </c:pt>
                <c:pt idx="9">
                  <c:v>68466.636363635989</c:v>
                </c:pt>
                <c:pt idx="10">
                  <c:v>86434.428571428056</c:v>
                </c:pt>
                <c:pt idx="11">
                  <c:v>107056.82857142805</c:v>
                </c:pt>
                <c:pt idx="12">
                  <c:v>130489.80519480444</c:v>
                </c:pt>
                <c:pt idx="13">
                  <c:v>156889.32727272646</c:v>
                </c:pt>
                <c:pt idx="14">
                  <c:v>186411.36363636248</c:v>
                </c:pt>
                <c:pt idx="15">
                  <c:v>219211.88311688183</c:v>
                </c:pt>
                <c:pt idx="16">
                  <c:v>255446.85454545333</c:v>
                </c:pt>
                <c:pt idx="17">
                  <c:v>295272.2467532453</c:v>
                </c:pt>
                <c:pt idx="18">
                  <c:v>338844.0285714271</c:v>
                </c:pt>
                <c:pt idx="19">
                  <c:v>382074.58488118014</c:v>
                </c:pt>
                <c:pt idx="20">
                  <c:v>395856.95758100436</c:v>
                </c:pt>
                <c:pt idx="21">
                  <c:v>410222.95739577047</c:v>
                </c:pt>
                <c:pt idx="22">
                  <c:v>425162.53751423588</c:v>
                </c:pt>
                <c:pt idx="23">
                  <c:v>440665.65112493484</c:v>
                </c:pt>
                <c:pt idx="24">
                  <c:v>456722.25141623901</c:v>
                </c:pt>
                <c:pt idx="25">
                  <c:v>473322.29157698166</c:v>
                </c:pt>
                <c:pt idx="26">
                  <c:v>490455.72479569056</c:v>
                </c:pt>
                <c:pt idx="27">
                  <c:v>508112.50426082837</c:v>
                </c:pt>
                <c:pt idx="28">
                  <c:v>526282.58316096617</c:v>
                </c:pt>
                <c:pt idx="29">
                  <c:v>544955.91468480078</c:v>
                </c:pt>
                <c:pt idx="30">
                  <c:v>564122.45202091185</c:v>
                </c:pt>
                <c:pt idx="31">
                  <c:v>583772.14835761033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3AC-4A7A-BF96-0958DB91C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7159584"/>
        <c:axId val="837162536"/>
      </c:scatterChart>
      <c:valAx>
        <c:axId val="837159584"/>
        <c:scaling>
          <c:orientation val="minMax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62536"/>
        <c:crosses val="autoZero"/>
        <c:crossBetween val="midCat"/>
        <c:majorUnit val="2"/>
      </c:valAx>
      <c:valAx>
        <c:axId val="8371625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59584"/>
        <c:crosses val="autoZero"/>
        <c:crossBetween val="midCat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forward val="20"/>
            <c:dispRSqr val="0"/>
            <c:dispEq val="1"/>
            <c:trendlineLbl>
              <c:numFmt formatCode="0.000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'Mitigacion NOM VE@20% (al 2050)'!$B$135:$B$151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xVal>
          <c:yVal>
            <c:numRef>
              <c:f>'Mitigacion NOM VE@20% (al 2050)'!$C$135:$C$151</c:f>
              <c:numCache>
                <c:formatCode>#,##0</c:formatCode>
                <c:ptCount val="17"/>
                <c:pt idx="0">
                  <c:v>976651.16433813574</c:v>
                </c:pt>
                <c:pt idx="1">
                  <c:v>1019571.4085290028</c:v>
                </c:pt>
                <c:pt idx="2">
                  <c:v>1117970.6924468274</c:v>
                </c:pt>
                <c:pt idx="3">
                  <c:v>1053030.9082251894</c:v>
                </c:pt>
                <c:pt idx="4">
                  <c:v>1166385.7116395417</c:v>
                </c:pt>
                <c:pt idx="5">
                  <c:v>1206991.5861911501</c:v>
                </c:pt>
                <c:pt idx="6">
                  <c:v>1247784.1313553418</c:v>
                </c:pt>
                <c:pt idx="7">
                  <c:v>1288748.2711188961</c:v>
                </c:pt>
                <c:pt idx="8">
                  <c:v>1329857.3224403893</c:v>
                </c:pt>
                <c:pt idx="9">
                  <c:v>1371090.8945916586</c:v>
                </c:pt>
                <c:pt idx="10">
                  <c:v>1412434.5035978679</c:v>
                </c:pt>
                <c:pt idx="11">
                  <c:v>1453842.0175012546</c:v>
                </c:pt>
                <c:pt idx="12">
                  <c:v>1495296.6218874408</c:v>
                </c:pt>
                <c:pt idx="13">
                  <c:v>1536770.45903657</c:v>
                </c:pt>
                <c:pt idx="14">
                  <c:v>1578233.9588539612</c:v>
                </c:pt>
                <c:pt idx="15">
                  <c:v>1619667.6062884759</c:v>
                </c:pt>
                <c:pt idx="16">
                  <c:v>1661026.0804002865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099-4301-84DD-A047FEFB2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4508744"/>
        <c:axId val="834503824"/>
      </c:scatterChart>
      <c:valAx>
        <c:axId val="834508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4503824"/>
        <c:crosses val="autoZero"/>
        <c:crossBetween val="midCat"/>
      </c:valAx>
      <c:valAx>
        <c:axId val="83450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4508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'Mitigacion NOM VE@20% (al 2050)'!$C$48</c:f>
              <c:strCache>
                <c:ptCount val="1"/>
                <c:pt idx="0">
                  <c:v>Autos [1]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2050)'!$B$49:$B$86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NOM VE@20% (al 2050)'!$C$49:$C$86</c:f>
              <c:numCache>
                <c:formatCode>#,##0</c:formatCode>
                <c:ptCount val="3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1166385.7116395417</c:v>
                </c:pt>
                <c:pt idx="6">
                  <c:v>1206991.5861911501</c:v>
                </c:pt>
                <c:pt idx="7">
                  <c:v>1247784.1313553418</c:v>
                </c:pt>
                <c:pt idx="8">
                  <c:v>1288748.2711188961</c:v>
                </c:pt>
                <c:pt idx="9">
                  <c:v>1329857.3224403893</c:v>
                </c:pt>
                <c:pt idx="10">
                  <c:v>1371090.8945916586</c:v>
                </c:pt>
                <c:pt idx="11">
                  <c:v>1412434.5035978679</c:v>
                </c:pt>
                <c:pt idx="12">
                  <c:v>1453842.0175012546</c:v>
                </c:pt>
                <c:pt idx="13">
                  <c:v>1495296.6218874408</c:v>
                </c:pt>
                <c:pt idx="14">
                  <c:v>1536770.45903657</c:v>
                </c:pt>
                <c:pt idx="15">
                  <c:v>1578233.9588539612</c:v>
                </c:pt>
                <c:pt idx="16">
                  <c:v>1619667.6062884759</c:v>
                </c:pt>
                <c:pt idx="17">
                  <c:v>1661026.0804002865</c:v>
                </c:pt>
                <c:pt idx="18">
                  <c:v>1699877.2219293118</c:v>
                </c:pt>
                <c:pt idx="19">
                  <c:v>1739712.7580529451</c:v>
                </c:pt>
                <c:pt idx="20">
                  <c:v>1779272.0068622828</c:v>
                </c:pt>
                <c:pt idx="21">
                  <c:v>1818554.9683576822</c:v>
                </c:pt>
                <c:pt idx="22">
                  <c:v>1857561.6425389051</c:v>
                </c:pt>
                <c:pt idx="23">
                  <c:v>1896292.0294060707</c:v>
                </c:pt>
                <c:pt idx="24">
                  <c:v>1934746.1289587021</c:v>
                </c:pt>
                <c:pt idx="25">
                  <c:v>1972923.9411973953</c:v>
                </c:pt>
                <c:pt idx="26">
                  <c:v>2010825.466121912</c:v>
                </c:pt>
                <c:pt idx="27">
                  <c:v>2048450.7037320137</c:v>
                </c:pt>
                <c:pt idx="28">
                  <c:v>2085799.6540281773</c:v>
                </c:pt>
                <c:pt idx="29">
                  <c:v>2122872.3170102835</c:v>
                </c:pt>
                <c:pt idx="30">
                  <c:v>2159668.6926778555</c:v>
                </c:pt>
                <c:pt idx="31">
                  <c:v>2196188.7810314894</c:v>
                </c:pt>
                <c:pt idx="32">
                  <c:v>2232432.5820710659</c:v>
                </c:pt>
                <c:pt idx="33">
                  <c:v>2268400.0957963467</c:v>
                </c:pt>
                <c:pt idx="34">
                  <c:v>2304091.3222073317</c:v>
                </c:pt>
                <c:pt idx="35">
                  <c:v>2339506.2613042593</c:v>
                </c:pt>
                <c:pt idx="36">
                  <c:v>2374644.9130871296</c:v>
                </c:pt>
                <c:pt idx="37">
                  <c:v>2409507.2775554657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67-4886-9F88-3ABCEC471F3E}"/>
            </c:ext>
          </c:extLst>
        </c:ser>
        <c:ser>
          <c:idx val="1"/>
          <c:order val="1"/>
          <c:tx>
            <c:strRef>
              <c:f>'Mitigacion NOM VE@20% (al 2050)'!$Q$48</c:f>
              <c:strCache>
                <c:ptCount val="1"/>
                <c:pt idx="0">
                  <c:v>Combinacion Autos en circulación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2050)'!$B$49:$B$86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NOM VE@20% (al 2050)'!$Q$49:$Q$86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#,##0">
                  <c:v>51642.285714285448</c:v>
                </c:pt>
                <c:pt idx="6" formatCode="#,##0">
                  <c:v>107573.71428571269</c:v>
                </c:pt>
                <c:pt idx="7" formatCode="#,##0">
                  <c:v>167794.28571428359</c:v>
                </c:pt>
                <c:pt idx="8" formatCode="#,##0">
                  <c:v>232303.99999999814</c:v>
                </c:pt>
                <c:pt idx="9" formatCode="#,##0">
                  <c:v>301102.85714285448</c:v>
                </c:pt>
                <c:pt idx="10" formatCode="#,##0">
                  <c:v>374190.85714285448</c:v>
                </c:pt>
                <c:pt idx="11" formatCode="#,##0">
                  <c:v>451567.99999999627</c:v>
                </c:pt>
                <c:pt idx="12" formatCode="#,##0">
                  <c:v>533234.28571428172</c:v>
                </c:pt>
                <c:pt idx="13" formatCode="#,##0">
                  <c:v>619189.71428570896</c:v>
                </c:pt>
                <c:pt idx="14" formatCode="#,##0">
                  <c:v>709434.28571427986</c:v>
                </c:pt>
                <c:pt idx="15" formatCode="#,##0">
                  <c:v>803967.99999999441</c:v>
                </c:pt>
                <c:pt idx="16" formatCode="#,##0">
                  <c:v>902790.85714285076</c:v>
                </c:pt>
                <c:pt idx="17" formatCode="#,##0">
                  <c:v>1005902.8571428508</c:v>
                </c:pt>
                <c:pt idx="18" formatCode="#,##0">
                  <c:v>1113303.9999999925</c:v>
                </c:pt>
                <c:pt idx="19" formatCode="#,##0">
                  <c:v>1224994.285714278</c:v>
                </c:pt>
                <c:pt idx="20" formatCode="#,##0">
                  <c:v>1340973.7142857052</c:v>
                </c:pt>
                <c:pt idx="21" formatCode="#,##0">
                  <c:v>1461242.2857142761</c:v>
                </c:pt>
                <c:pt idx="22" formatCode="#,##0">
                  <c:v>1585799.9999999907</c:v>
                </c:pt>
                <c:pt idx="23" formatCode="#,##0">
                  <c:v>1714646.857142847</c:v>
                </c:pt>
                <c:pt idx="24" formatCode="#,##0">
                  <c:v>1847782.857142847</c:v>
                </c:pt>
                <c:pt idx="25" formatCode="#,##0">
                  <c:v>1972923.9411973953</c:v>
                </c:pt>
                <c:pt idx="26" formatCode="#,##0">
                  <c:v>2010825.466121912</c:v>
                </c:pt>
                <c:pt idx="27" formatCode="#,##0">
                  <c:v>2048450.7037320137</c:v>
                </c:pt>
                <c:pt idx="28" formatCode="#,##0">
                  <c:v>2085799.6540281773</c:v>
                </c:pt>
                <c:pt idx="29" formatCode="#,##0">
                  <c:v>2122872.3170102835</c:v>
                </c:pt>
                <c:pt idx="30" formatCode="#,##0">
                  <c:v>2159668.6926778555</c:v>
                </c:pt>
                <c:pt idx="31" formatCode="#,##0">
                  <c:v>2196188.7810314894</c:v>
                </c:pt>
                <c:pt idx="32" formatCode="#,##0">
                  <c:v>2232432.5820710659</c:v>
                </c:pt>
                <c:pt idx="33" formatCode="#,##0">
                  <c:v>2268400.0957963467</c:v>
                </c:pt>
                <c:pt idx="34" formatCode="#,##0">
                  <c:v>2304091.3222073317</c:v>
                </c:pt>
                <c:pt idx="35" formatCode="#,##0">
                  <c:v>2339506.2613042593</c:v>
                </c:pt>
                <c:pt idx="36" formatCode="#,##0">
                  <c:v>2374644.9130871296</c:v>
                </c:pt>
                <c:pt idx="37" formatCode="#,##0">
                  <c:v>2409507.2775554657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67-4886-9F88-3ABCEC471F3E}"/>
            </c:ext>
          </c:extLst>
        </c:ser>
        <c:ser>
          <c:idx val="2"/>
          <c:order val="2"/>
          <c:tx>
            <c:strRef>
              <c:f>'Mitigacion NOM VE@20% (al 2050)'!$D$48</c:f>
              <c:strCache>
                <c:ptCount val="1"/>
                <c:pt idx="0">
                  <c:v>Número de autos nuevos
[2]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2050)'!$B$49:$B$86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NOM VE@20% (al 2050)'!$D$48:$D$86</c:f>
              <c:numCache>
                <c:formatCode>#,##0.0</c:formatCode>
                <c:ptCount val="39"/>
                <c:pt idx="0" formatCode="General">
                  <c:v>0</c:v>
                </c:pt>
                <c:pt idx="1">
                  <c:v>28898</c:v>
                </c:pt>
                <c:pt idx="2">
                  <c:v>28300</c:v>
                </c:pt>
                <c:pt idx="3">
                  <c:v>37202</c:v>
                </c:pt>
                <c:pt idx="4">
                  <c:v>48314</c:v>
                </c:pt>
                <c:pt idx="5">
                  <c:v>47353.142857141793</c:v>
                </c:pt>
                <c:pt idx="6">
                  <c:v>51642.285714285448</c:v>
                </c:pt>
                <c:pt idx="7">
                  <c:v>55931.428571427241</c:v>
                </c:pt>
                <c:pt idx="8">
                  <c:v>60220.571428570896</c:v>
                </c:pt>
                <c:pt idx="9">
                  <c:v>64509.714285714552</c:v>
                </c:pt>
                <c:pt idx="10">
                  <c:v>68798.857142856345</c:v>
                </c:pt>
                <c:pt idx="11">
                  <c:v>73088</c:v>
                </c:pt>
                <c:pt idx="12">
                  <c:v>77377.142857141793</c:v>
                </c:pt>
                <c:pt idx="13">
                  <c:v>81666.285714285448</c:v>
                </c:pt>
                <c:pt idx="14">
                  <c:v>85955.428571427241</c:v>
                </c:pt>
                <c:pt idx="15">
                  <c:v>90244.571428570896</c:v>
                </c:pt>
                <c:pt idx="16">
                  <c:v>94533.714285714552</c:v>
                </c:pt>
                <c:pt idx="17">
                  <c:v>98822.857142856345</c:v>
                </c:pt>
                <c:pt idx="18">
                  <c:v>103112</c:v>
                </c:pt>
                <c:pt idx="19">
                  <c:v>107401.14285714179</c:v>
                </c:pt>
                <c:pt idx="20">
                  <c:v>111690.28571428545</c:v>
                </c:pt>
                <c:pt idx="21">
                  <c:v>115979.42857142724</c:v>
                </c:pt>
                <c:pt idx="22">
                  <c:v>120268.5714285709</c:v>
                </c:pt>
                <c:pt idx="23">
                  <c:v>124557.71428571455</c:v>
                </c:pt>
                <c:pt idx="24">
                  <c:v>128846.85714285634</c:v>
                </c:pt>
                <c:pt idx="25">
                  <c:v>133136</c:v>
                </c:pt>
                <c:pt idx="26">
                  <c:v>125141.08405454829</c:v>
                </c:pt>
                <c:pt idx="27">
                  <c:v>37901.524924516678</c:v>
                </c:pt>
                <c:pt idx="28">
                  <c:v>37625.2376101017</c:v>
                </c:pt>
                <c:pt idx="29">
                  <c:v>37348.950296163559</c:v>
                </c:pt>
                <c:pt idx="30">
                  <c:v>37072.662982106209</c:v>
                </c:pt>
                <c:pt idx="31">
                  <c:v>36796.375667572021</c:v>
                </c:pt>
                <c:pt idx="32">
                  <c:v>36520.088353633881</c:v>
                </c:pt>
                <c:pt idx="33">
                  <c:v>36243.80103957653</c:v>
                </c:pt>
                <c:pt idx="34">
                  <c:v>35967.513725280762</c:v>
                </c:pt>
                <c:pt idx="35">
                  <c:v>35691.226410984993</c:v>
                </c:pt>
                <c:pt idx="36">
                  <c:v>35414.939096927643</c:v>
                </c:pt>
                <c:pt idx="37">
                  <c:v>35138.651782870293</c:v>
                </c:pt>
                <c:pt idx="38">
                  <c:v>34862.364468336105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367-4886-9F88-3ABCEC471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6296216"/>
        <c:axId val="806297200"/>
      </c:scatterChart>
      <c:valAx>
        <c:axId val="806296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06297200"/>
        <c:crosses val="autoZero"/>
        <c:crossBetween val="midCat"/>
      </c:valAx>
      <c:valAx>
        <c:axId val="80629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06296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3"/>
          <c:order val="0"/>
          <c:tx>
            <c:strRef>
              <c:f>'Escenario Base'!$F$73</c:f>
              <c:strCache>
                <c:ptCount val="1"/>
                <c:pt idx="0">
                  <c:v>Emisiones de autos Inventario Chihuahua
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'Escenario Base'!$B$74:$B$91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'Escenario Base'!$F$74:$F$91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4409.1759291458902</c:v>
                </c:pt>
                <c:pt idx="2">
                  <c:v>4697.8044143992256</c:v>
                </c:pt>
                <c:pt idx="3">
                  <c:v>4861.015568828896</c:v>
                </c:pt>
                <c:pt idx="4">
                  <c:v>4774.6817019902828</c:v>
                </c:pt>
                <c:pt idx="5">
                  <c:v>4784.7519434793039</c:v>
                </c:pt>
                <c:pt idx="6">
                  <c:v>4809.2963508437269</c:v>
                </c:pt>
                <c:pt idx="7">
                  <c:v>4845.536453345142</c:v>
                </c:pt>
                <c:pt idx="8">
                  <c:v>4893.1151305214926</c:v>
                </c:pt>
                <c:pt idx="9">
                  <c:v>4952.0423023853336</c:v>
                </c:pt>
                <c:pt idx="10">
                  <c:v>5022.1493287186813</c:v>
                </c:pt>
                <c:pt idx="11">
                  <c:v>5103.1187691104178</c:v>
                </c:pt>
                <c:pt idx="12">
                  <c:v>5195.5160642926385</c:v>
                </c:pt>
                <c:pt idx="13">
                  <c:v>5299.0832939312513</c:v>
                </c:pt>
                <c:pt idx="14">
                  <c:v>5413.8700580907316</c:v>
                </c:pt>
                <c:pt idx="15">
                  <c:v>5539.9656368863471</c:v>
                </c:pt>
                <c:pt idx="16">
                  <c:v>5677.2013900999818</c:v>
                </c:pt>
                <c:pt idx="17">
                  <c:v>5826.0534783480334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66D-4B69-AD80-CF9F174D49A9}"/>
            </c:ext>
          </c:extLst>
        </c:ser>
        <c:ser>
          <c:idx val="4"/>
          <c:order val="1"/>
          <c:tx>
            <c:strRef>
              <c:f>'Escenario Base'!$G$73</c:f>
              <c:strCache>
                <c:ptCount val="1"/>
                <c:pt idx="0">
                  <c:v>Emisiones de autos posteriores a 2018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'Escenario Base'!$B$74:$B$91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'Escenario Base'!$G$74:$G$91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211.84718268694195</c:v>
                </c:pt>
                <c:pt idx="6">
                  <c:v>434.41355257472804</c:v>
                </c:pt>
                <c:pt idx="7">
                  <c:v>667.38839454183812</c:v>
                </c:pt>
                <c:pt idx="8">
                  <c:v>910.57449132810052</c:v>
                </c:pt>
                <c:pt idx="9">
                  <c:v>1163.9092140203365</c:v>
                </c:pt>
                <c:pt idx="10">
                  <c:v>1427.4552011095288</c:v>
                </c:pt>
                <c:pt idx="11">
                  <c:v>1701.3912333377018</c:v>
                </c:pt>
                <c:pt idx="12">
                  <c:v>1986.0960064670589</c:v>
                </c:pt>
                <c:pt idx="13">
                  <c:v>2282.0947494158941</c:v>
                </c:pt>
                <c:pt idx="14">
                  <c:v>2590.1065752511004</c:v>
                </c:pt>
                <c:pt idx="15">
                  <c:v>2911.0794558093999</c:v>
                </c:pt>
                <c:pt idx="16">
                  <c:v>3246.1980100476671</c:v>
                </c:pt>
                <c:pt idx="17">
                  <c:v>3597.0311669466187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66D-4B69-AD80-CF9F174D49A9}"/>
            </c:ext>
          </c:extLst>
        </c:ser>
        <c:ser>
          <c:idx val="5"/>
          <c:order val="2"/>
          <c:tx>
            <c:strRef>
              <c:f>'Escenario Base'!$H$73</c:f>
              <c:strCache>
                <c:ptCount val="1"/>
                <c:pt idx="0">
                  <c:v>Emisiones de autos anteriores a 2018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'Escenario Base'!$B$74:$B$91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'Escenario Base'!$H$74:$H$91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4572.9047607923612</c:v>
                </c:pt>
                <c:pt idx="6">
                  <c:v>4374.8827982689982</c:v>
                </c:pt>
                <c:pt idx="7">
                  <c:v>4178.1480588033037</c:v>
                </c:pt>
                <c:pt idx="8">
                  <c:v>3982.5406391933921</c:v>
                </c:pt>
                <c:pt idx="9">
                  <c:v>3788.1330883649971</c:v>
                </c:pt>
                <c:pt idx="10">
                  <c:v>3594.6941276091529</c:v>
                </c:pt>
                <c:pt idx="11">
                  <c:v>3401.7275357727162</c:v>
                </c:pt>
                <c:pt idx="12">
                  <c:v>3209.4200578255795</c:v>
                </c:pt>
                <c:pt idx="13">
                  <c:v>3016.9885445153573</c:v>
                </c:pt>
                <c:pt idx="14">
                  <c:v>2823.7634828396313</c:v>
                </c:pt>
                <c:pt idx="15">
                  <c:v>2628.8861810769477</c:v>
                </c:pt>
                <c:pt idx="16">
                  <c:v>2431.0033800523147</c:v>
                </c:pt>
                <c:pt idx="17">
                  <c:v>2229.0223114014152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66D-4B69-AD80-CF9F174D49A9}"/>
            </c:ext>
          </c:extLst>
        </c:ser>
        <c:ser>
          <c:idx val="6"/>
          <c:order val="3"/>
          <c:tx>
            <c:strRef>
              <c:f>'Escenario Base'!$I$73</c:f>
              <c:strCache>
                <c:ptCount val="1"/>
                <c:pt idx="0">
                  <c:v>Emisiones de autos anteriores y posteriores a 2018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'Escenario Base'!$B$74:$B$91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'Escenario Base'!$I$74:$I$91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4784.751943479303</c:v>
                </c:pt>
                <c:pt idx="6">
                  <c:v>4809.296350843726</c:v>
                </c:pt>
                <c:pt idx="7">
                  <c:v>4845.536453345142</c:v>
                </c:pt>
                <c:pt idx="8">
                  <c:v>4893.1151305214926</c:v>
                </c:pt>
                <c:pt idx="9">
                  <c:v>4952.0423023853336</c:v>
                </c:pt>
                <c:pt idx="10">
                  <c:v>5022.1493287186822</c:v>
                </c:pt>
                <c:pt idx="11">
                  <c:v>5103.1187691104178</c:v>
                </c:pt>
                <c:pt idx="12">
                  <c:v>5195.5160642926385</c:v>
                </c:pt>
                <c:pt idx="13">
                  <c:v>5299.0832939312513</c:v>
                </c:pt>
                <c:pt idx="14">
                  <c:v>5413.8700580907316</c:v>
                </c:pt>
                <c:pt idx="15">
                  <c:v>5539.9656368863471</c:v>
                </c:pt>
                <c:pt idx="16">
                  <c:v>5677.2013900999818</c:v>
                </c:pt>
                <c:pt idx="17">
                  <c:v>5826.0534783480343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66D-4B69-AD80-CF9F174D4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813968"/>
        <c:axId val="487815280"/>
      </c:scatterChart>
      <c:valAx>
        <c:axId val="487813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5280"/>
        <c:crosses val="autoZero"/>
        <c:crossBetween val="midCat"/>
      </c:valAx>
      <c:valAx>
        <c:axId val="4878152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'Mitigacion NOM VE@20% (al 2050)'!$C$192</c:f>
          <c:strCache>
            <c:ptCount val="1"/>
            <c:pt idx="0">
              <c:v>Emisiones de Autos Inventario Chihuahua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forward val="20"/>
            <c:dispRSqr val="0"/>
            <c:dispEq val="0"/>
          </c:trendline>
          <c:xVal>
            <c:numRef>
              <c:f>'Mitigacion NOM VE@20% (al 2050)'!$B$197:$B$210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xVal>
          <c:yVal>
            <c:numRef>
              <c:f>'Mitigacion NOM VE@20% (al 2050)'!$C$197:$C$210</c:f>
              <c:numCache>
                <c:formatCode>#,##0</c:formatCode>
                <c:ptCount val="14"/>
                <c:pt idx="0">
                  <c:v>4774.6817019902828</c:v>
                </c:pt>
                <c:pt idx="1">
                  <c:v>4784.7519434793039</c:v>
                </c:pt>
                <c:pt idx="2">
                  <c:v>4809.2963508437269</c:v>
                </c:pt>
                <c:pt idx="3">
                  <c:v>4845.536453345142</c:v>
                </c:pt>
                <c:pt idx="4">
                  <c:v>4893.1151305214926</c:v>
                </c:pt>
                <c:pt idx="5">
                  <c:v>4952.0423023853336</c:v>
                </c:pt>
                <c:pt idx="6">
                  <c:v>5022.1493287186813</c:v>
                </c:pt>
                <c:pt idx="7">
                  <c:v>5103.1187691104178</c:v>
                </c:pt>
                <c:pt idx="8">
                  <c:v>5195.5160642926385</c:v>
                </c:pt>
                <c:pt idx="9">
                  <c:v>5299.0832939312513</c:v>
                </c:pt>
                <c:pt idx="10">
                  <c:v>5413.8700580907316</c:v>
                </c:pt>
                <c:pt idx="11">
                  <c:v>5539.9656368863471</c:v>
                </c:pt>
                <c:pt idx="12">
                  <c:v>5677.2013900999818</c:v>
                </c:pt>
                <c:pt idx="13">
                  <c:v>5826.0534783480334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7D-4FB0-B9FE-EFEC1C5F6B9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'Mitigacion NOM VE@20% (al 2050)'!$B$211:$B$230</c:f>
              <c:numCache>
                <c:formatCode>General</c:formatCode>
                <c:ptCount val="20"/>
                <c:pt idx="0">
                  <c:v>2031</c:v>
                </c:pt>
                <c:pt idx="1">
                  <c:v>2032</c:v>
                </c:pt>
                <c:pt idx="2">
                  <c:v>2033</c:v>
                </c:pt>
                <c:pt idx="3">
                  <c:v>2034</c:v>
                </c:pt>
                <c:pt idx="4">
                  <c:v>2035</c:v>
                </c:pt>
                <c:pt idx="5">
                  <c:v>2036</c:v>
                </c:pt>
                <c:pt idx="6">
                  <c:v>2037</c:v>
                </c:pt>
                <c:pt idx="7">
                  <c:v>2038</c:v>
                </c:pt>
                <c:pt idx="8">
                  <c:v>2039</c:v>
                </c:pt>
                <c:pt idx="9">
                  <c:v>2040</c:v>
                </c:pt>
                <c:pt idx="10">
                  <c:v>2041</c:v>
                </c:pt>
                <c:pt idx="11">
                  <c:v>2042</c:v>
                </c:pt>
                <c:pt idx="12">
                  <c:v>2043</c:v>
                </c:pt>
                <c:pt idx="13">
                  <c:v>2044</c:v>
                </c:pt>
                <c:pt idx="14">
                  <c:v>2045</c:v>
                </c:pt>
                <c:pt idx="15">
                  <c:v>2046</c:v>
                </c:pt>
                <c:pt idx="16">
                  <c:v>2047</c:v>
                </c:pt>
                <c:pt idx="17">
                  <c:v>2048</c:v>
                </c:pt>
                <c:pt idx="18">
                  <c:v>2049</c:v>
                </c:pt>
                <c:pt idx="19">
                  <c:v>2050</c:v>
                </c:pt>
              </c:numCache>
            </c:numRef>
          </c:xVal>
          <c:yVal>
            <c:numRef>
              <c:f>'Mitigacion NOM VE@20% (al 2050)'!$C$211:$C$230</c:f>
              <c:numCache>
                <c:formatCode>#,##0</c:formatCode>
                <c:ptCount val="20"/>
                <c:pt idx="0">
                  <c:v>5986.5304813012481</c:v>
                </c:pt>
                <c:pt idx="1">
                  <c:v>6157.9916860498488</c:v>
                </c:pt>
                <c:pt idx="2">
                  <c:v>6340.7535723261535</c:v>
                </c:pt>
                <c:pt idx="3">
                  <c:v>6534.8161401487887</c:v>
                </c:pt>
                <c:pt idx="4">
                  <c:v>6740.179389514029</c:v>
                </c:pt>
                <c:pt idx="5">
                  <c:v>6956.8433204069734</c:v>
                </c:pt>
                <c:pt idx="6">
                  <c:v>7184.8079328499734</c:v>
                </c:pt>
                <c:pt idx="7">
                  <c:v>7424.0732268206775</c:v>
                </c:pt>
                <c:pt idx="8">
                  <c:v>7674.6392023414373</c:v>
                </c:pt>
                <c:pt idx="9">
                  <c:v>7936.5058593973517</c:v>
                </c:pt>
                <c:pt idx="10">
                  <c:v>8209.6731979884207</c:v>
                </c:pt>
                <c:pt idx="11">
                  <c:v>8494.1412181220949</c:v>
                </c:pt>
                <c:pt idx="12">
                  <c:v>8789.9099197983742</c:v>
                </c:pt>
                <c:pt idx="13">
                  <c:v>9096.9793030060828</c:v>
                </c:pt>
                <c:pt idx="14">
                  <c:v>9415.3493677601218</c:v>
                </c:pt>
                <c:pt idx="15">
                  <c:v>9745.0201140493155</c:v>
                </c:pt>
                <c:pt idx="16">
                  <c:v>10085.991541873664</c:v>
                </c:pt>
                <c:pt idx="17">
                  <c:v>10438.263651244342</c:v>
                </c:pt>
                <c:pt idx="18">
                  <c:v>10801.836442153901</c:v>
                </c:pt>
                <c:pt idx="19">
                  <c:v>11176.709914594889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57D-4FB0-B9FE-EFEC1C5F6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6306384"/>
        <c:axId val="806307040"/>
      </c:scatterChart>
      <c:valAx>
        <c:axId val="806306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06307040"/>
        <c:crosses val="autoZero"/>
        <c:crossBetween val="midCat"/>
      </c:valAx>
      <c:valAx>
        <c:axId val="806307040"/>
        <c:scaling>
          <c:orientation val="minMax"/>
          <c:min val="4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0630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'Mitigacion NOM VE@20% (al 2050)'!$C$133</c:f>
              <c:strCache>
                <c:ptCount val="1"/>
                <c:pt idx="0">
                  <c:v>Autos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NOM VE@20% (al 2050)'!$C$134:$C$171</c:f>
              <c:numCache>
                <c:formatCode>#,##0</c:formatCode>
                <c:ptCount val="3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1166385.7116395417</c:v>
                </c:pt>
                <c:pt idx="6">
                  <c:v>1206991.5861911501</c:v>
                </c:pt>
                <c:pt idx="7">
                  <c:v>1247784.1313553418</c:v>
                </c:pt>
                <c:pt idx="8">
                  <c:v>1288748.2711188961</c:v>
                </c:pt>
                <c:pt idx="9">
                  <c:v>1329857.3224403893</c:v>
                </c:pt>
                <c:pt idx="10">
                  <c:v>1371090.8945916586</c:v>
                </c:pt>
                <c:pt idx="11">
                  <c:v>1412434.5035978679</c:v>
                </c:pt>
                <c:pt idx="12">
                  <c:v>1453842.0175012546</c:v>
                </c:pt>
                <c:pt idx="13">
                  <c:v>1495296.6218874408</c:v>
                </c:pt>
                <c:pt idx="14">
                  <c:v>1536770.45903657</c:v>
                </c:pt>
                <c:pt idx="15">
                  <c:v>1578233.9588539612</c:v>
                </c:pt>
                <c:pt idx="16">
                  <c:v>1619667.6062884759</c:v>
                </c:pt>
                <c:pt idx="17">
                  <c:v>1661026.0804002865</c:v>
                </c:pt>
                <c:pt idx="18">
                  <c:v>1699877.2219293118</c:v>
                </c:pt>
                <c:pt idx="19">
                  <c:v>1739712.7580529451</c:v>
                </c:pt>
                <c:pt idx="20">
                  <c:v>1779272.0068622828</c:v>
                </c:pt>
                <c:pt idx="21">
                  <c:v>1818554.9683576822</c:v>
                </c:pt>
                <c:pt idx="22">
                  <c:v>1857561.6425389051</c:v>
                </c:pt>
                <c:pt idx="23">
                  <c:v>1896292.0294060707</c:v>
                </c:pt>
                <c:pt idx="24">
                  <c:v>1934746.1289587021</c:v>
                </c:pt>
                <c:pt idx="25">
                  <c:v>1972923.9411973953</c:v>
                </c:pt>
                <c:pt idx="26">
                  <c:v>2010825.466121912</c:v>
                </c:pt>
                <c:pt idx="27">
                  <c:v>2048450.7037320137</c:v>
                </c:pt>
                <c:pt idx="28">
                  <c:v>2085799.6540281773</c:v>
                </c:pt>
                <c:pt idx="29">
                  <c:v>2122872.3170102835</c:v>
                </c:pt>
                <c:pt idx="30">
                  <c:v>2159668.6926778555</c:v>
                </c:pt>
                <c:pt idx="31">
                  <c:v>2196188.7810314894</c:v>
                </c:pt>
                <c:pt idx="32">
                  <c:v>2232432.5820710659</c:v>
                </c:pt>
                <c:pt idx="33">
                  <c:v>2268400.0957963467</c:v>
                </c:pt>
                <c:pt idx="34">
                  <c:v>2304091.3222073317</c:v>
                </c:pt>
                <c:pt idx="35">
                  <c:v>2339506.2613042593</c:v>
                </c:pt>
                <c:pt idx="36">
                  <c:v>2374644.9130871296</c:v>
                </c:pt>
                <c:pt idx="37">
                  <c:v>2409507.2775554657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F8E-469C-AE7C-93F3B6377CAD}"/>
            </c:ext>
          </c:extLst>
        </c:ser>
        <c:ser>
          <c:idx val="1"/>
          <c:order val="1"/>
          <c:tx>
            <c:strRef>
              <c:f>'Mitigacion NOM VE@20% (al 2050)'!$D$133</c:f>
              <c:strCache>
                <c:ptCount val="1"/>
                <c:pt idx="0">
                  <c:v>Autos posteriores a NOM163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NOM VE@20% (al 2050)'!$D$133:$D$171</c:f>
              <c:numCache>
                <c:formatCode>#,##0</c:formatCode>
                <c:ptCount val="39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51443.285714285448</c:v>
                </c:pt>
                <c:pt idx="7">
                  <c:v>107094.71428571269</c:v>
                </c:pt>
                <c:pt idx="8">
                  <c:v>166220.3662337641</c:v>
                </c:pt>
                <c:pt idx="9">
                  <c:v>228384.27272727084</c:v>
                </c:pt>
                <c:pt idx="10">
                  <c:v>293430.46493506228</c:v>
                </c:pt>
                <c:pt idx="11">
                  <c:v>361202.97402597137</c:v>
                </c:pt>
                <c:pt idx="12">
                  <c:v>431545.83116882754</c:v>
                </c:pt>
                <c:pt idx="13">
                  <c:v>504303.0675324637</c:v>
                </c:pt>
                <c:pt idx="14">
                  <c:v>579318.71428570931</c:v>
                </c:pt>
                <c:pt idx="15">
                  <c:v>656436.80259739712</c:v>
                </c:pt>
                <c:pt idx="16">
                  <c:v>735501.36363635841</c:v>
                </c:pt>
                <c:pt idx="17">
                  <c:v>816356.4285714227</c:v>
                </c:pt>
                <c:pt idx="18">
                  <c:v>898846.02857142268</c:v>
                </c:pt>
                <c:pt idx="19">
                  <c:v>982814.1948051881</c:v>
                </c:pt>
                <c:pt idx="20">
                  <c:v>1068104.9584415515</c:v>
                </c:pt>
                <c:pt idx="21">
                  <c:v>1154562.3506493429</c:v>
                </c:pt>
                <c:pt idx="22">
                  <c:v>1242030.4025973945</c:v>
                </c:pt>
                <c:pt idx="23">
                  <c:v>1330353.1454545376</c:v>
                </c:pt>
                <c:pt idx="24">
                  <c:v>1419374.6103896019</c:v>
                </c:pt>
                <c:pt idx="25">
                  <c:v>1508938.8285714202</c:v>
                </c:pt>
                <c:pt idx="26">
                  <c:v>1590849.3563162154</c:v>
                </c:pt>
                <c:pt idx="27">
                  <c:v>1614968.5085409079</c:v>
                </c:pt>
                <c:pt idx="28">
                  <c:v>1638227.7463362436</c:v>
                </c:pt>
                <c:pt idx="29">
                  <c:v>1660637.1165139417</c:v>
                </c:pt>
                <c:pt idx="30">
                  <c:v>1682206.6658853488</c:v>
                </c:pt>
                <c:pt idx="31">
                  <c:v>1702946.4412616168</c:v>
                </c:pt>
                <c:pt idx="32">
                  <c:v>1722866.4894545081</c:v>
                </c:pt>
                <c:pt idx="33">
                  <c:v>1741976.8572753756</c:v>
                </c:pt>
                <c:pt idx="34">
                  <c:v>1760287.5915355186</c:v>
                </c:pt>
                <c:pt idx="35">
                  <c:v>1777808.7390463657</c:v>
                </c:pt>
                <c:pt idx="36">
                  <c:v>1794550.3466194589</c:v>
                </c:pt>
                <c:pt idx="37">
                  <c:v>1810522.4610662181</c:v>
                </c:pt>
                <c:pt idx="38">
                  <c:v>1825735.1291978557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F8E-469C-AE7C-93F3B6377CAD}"/>
            </c:ext>
          </c:extLst>
        </c:ser>
        <c:ser>
          <c:idx val="2"/>
          <c:order val="2"/>
          <c:tx>
            <c:strRef>
              <c:f>'Mitigacion NOM VE@20% (al 2050)'!$E$133</c:f>
              <c:strCache>
                <c:ptCount val="1"/>
                <c:pt idx="0">
                  <c:v>Autos anteriores a NOM163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NOM VE@20% (al 2050)'!$E$134:$E$171</c:f>
              <c:numCache>
                <c:formatCode>#,##0</c:formatCode>
                <c:ptCount val="3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1114743.4259252562</c:v>
                </c:pt>
                <c:pt idx="6">
                  <c:v>1099417.8719054374</c:v>
                </c:pt>
                <c:pt idx="7">
                  <c:v>1079989.8456410584</c:v>
                </c:pt>
                <c:pt idx="8">
                  <c:v>1056444.2711188979</c:v>
                </c:pt>
                <c:pt idx="9">
                  <c:v>1028754.4652975349</c:v>
                </c:pt>
                <c:pt idx="10">
                  <c:v>996900.03744880413</c:v>
                </c:pt>
                <c:pt idx="11">
                  <c:v>960866.50359787163</c:v>
                </c:pt>
                <c:pt idx="12">
                  <c:v>920607.73178697284</c:v>
                </c:pt>
                <c:pt idx="13">
                  <c:v>876106.90760173183</c:v>
                </c:pt>
                <c:pt idx="14">
                  <c:v>827336.17332229018</c:v>
                </c:pt>
                <c:pt idx="15">
                  <c:v>774265.95885396679</c:v>
                </c:pt>
                <c:pt idx="16">
                  <c:v>716876.74914562516</c:v>
                </c:pt>
                <c:pt idx="17">
                  <c:v>655123.22325743572</c:v>
                </c:pt>
                <c:pt idx="18">
                  <c:v>586573.2219293192</c:v>
                </c:pt>
                <c:pt idx="19">
                  <c:v>514718.47233866714</c:v>
                </c:pt>
                <c:pt idx="20">
                  <c:v>438298.2925765774</c:v>
                </c:pt>
                <c:pt idx="21">
                  <c:v>357312.68264340586</c:v>
                </c:pt>
                <c:pt idx="22">
                  <c:v>271761.64253891422</c:v>
                </c:pt>
                <c:pt idx="23">
                  <c:v>181645.1722632235</c:v>
                </c:pt>
                <c:pt idx="24">
                  <c:v>86963.271815854823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F8E-469C-AE7C-93F3B6377CAD}"/>
            </c:ext>
          </c:extLst>
        </c:ser>
        <c:ser>
          <c:idx val="3"/>
          <c:order val="3"/>
          <c:tx>
            <c:strRef>
              <c:f>'Mitigacion NOM VE@20% (al 2050)'!$L$48</c:f>
              <c:strCache>
                <c:ptCount val="1"/>
                <c:pt idx="0">
                  <c:v>Acumulado Vehículos eléctricos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2050)'!$B$55:$B$86</c:f>
              <c:numCache>
                <c:formatCode>General</c:formatCode>
                <c:ptCount val="3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</c:numCache>
            </c:numRef>
          </c:xVal>
          <c:yVal>
            <c:numRef>
              <c:f>'Mitigacion NOM VE@20% (al 2050)'!$L$55:$L$86</c:f>
              <c:numCache>
                <c:formatCode>#,##0</c:formatCode>
                <c:ptCount val="32"/>
                <c:pt idx="0">
                  <c:v>479</c:v>
                </c:pt>
                <c:pt idx="1">
                  <c:v>1573.9194805194709</c:v>
                </c:pt>
                <c:pt idx="2">
                  <c:v>3919.727272727273</c:v>
                </c:pt>
                <c:pt idx="3">
                  <c:v>7672.3922077921643</c:v>
                </c:pt>
                <c:pt idx="4">
                  <c:v>12987.883116883073</c:v>
                </c:pt>
                <c:pt idx="5">
                  <c:v>20022.168831168688</c:v>
                </c:pt>
                <c:pt idx="6">
                  <c:v>28931.218181818011</c:v>
                </c:pt>
                <c:pt idx="7">
                  <c:v>39870.999999999658</c:v>
                </c:pt>
                <c:pt idx="8">
                  <c:v>52997.483116882693</c:v>
                </c:pt>
                <c:pt idx="9">
                  <c:v>68466.636363635989</c:v>
                </c:pt>
                <c:pt idx="10">
                  <c:v>86434.428571428056</c:v>
                </c:pt>
                <c:pt idx="11">
                  <c:v>107056.82857142805</c:v>
                </c:pt>
                <c:pt idx="12">
                  <c:v>130489.80519480444</c:v>
                </c:pt>
                <c:pt idx="13">
                  <c:v>156889.32727272646</c:v>
                </c:pt>
                <c:pt idx="14">
                  <c:v>186411.36363636248</c:v>
                </c:pt>
                <c:pt idx="15">
                  <c:v>219211.88311688183</c:v>
                </c:pt>
                <c:pt idx="16">
                  <c:v>255446.85454545333</c:v>
                </c:pt>
                <c:pt idx="17">
                  <c:v>295272.2467532453</c:v>
                </c:pt>
                <c:pt idx="18">
                  <c:v>338844.0285714271</c:v>
                </c:pt>
                <c:pt idx="19">
                  <c:v>382074.58488118014</c:v>
                </c:pt>
                <c:pt idx="20">
                  <c:v>395856.95758100436</c:v>
                </c:pt>
                <c:pt idx="21">
                  <c:v>410222.95739577047</c:v>
                </c:pt>
                <c:pt idx="22">
                  <c:v>425162.53751423588</c:v>
                </c:pt>
                <c:pt idx="23">
                  <c:v>440665.65112493484</c:v>
                </c:pt>
                <c:pt idx="24">
                  <c:v>456722.25141623901</c:v>
                </c:pt>
                <c:pt idx="25">
                  <c:v>473322.29157698166</c:v>
                </c:pt>
                <c:pt idx="26">
                  <c:v>490455.72479569056</c:v>
                </c:pt>
                <c:pt idx="27">
                  <c:v>508112.50426082837</c:v>
                </c:pt>
                <c:pt idx="28">
                  <c:v>526282.58316096617</c:v>
                </c:pt>
                <c:pt idx="29">
                  <c:v>544955.91468480078</c:v>
                </c:pt>
                <c:pt idx="30">
                  <c:v>564122.45202091185</c:v>
                </c:pt>
                <c:pt idx="31">
                  <c:v>583772.14835761033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F8E-469C-AE7C-93F3B6377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7159584"/>
        <c:axId val="837162536"/>
      </c:scatterChart>
      <c:valAx>
        <c:axId val="837159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62536"/>
        <c:crosses val="autoZero"/>
        <c:crossBetween val="midCat"/>
      </c:valAx>
      <c:valAx>
        <c:axId val="8371625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59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3"/>
          <c:order val="0"/>
          <c:tx>
            <c:strRef>
              <c:f>'Mitigacion NOM VE@20% (al 2050)'!$C$192</c:f>
              <c:strCache>
                <c:ptCount val="1"/>
                <c:pt idx="0">
                  <c:v>Emisiones de Autos Inventario Chihuahua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2050)'!$B$193:$B$230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NOM VE@20% (al 2050)'!$C$193:$C$230</c:f>
              <c:numCache>
                <c:formatCode>#,##0</c:formatCode>
                <c:ptCount val="38"/>
                <c:pt idx="0">
                  <c:v>4488.9048500498293</c:v>
                </c:pt>
                <c:pt idx="1">
                  <c:v>4409.1759291458902</c:v>
                </c:pt>
                <c:pt idx="2">
                  <c:v>4697.8044143992256</c:v>
                </c:pt>
                <c:pt idx="3">
                  <c:v>4861.015568828896</c:v>
                </c:pt>
                <c:pt idx="4">
                  <c:v>4774.6817019902828</c:v>
                </c:pt>
                <c:pt idx="5">
                  <c:v>4784.7519434793039</c:v>
                </c:pt>
                <c:pt idx="6">
                  <c:v>4809.2963508437269</c:v>
                </c:pt>
                <c:pt idx="7">
                  <c:v>4845.536453345142</c:v>
                </c:pt>
                <c:pt idx="8">
                  <c:v>4893.1151305214926</c:v>
                </c:pt>
                <c:pt idx="9">
                  <c:v>4952.0423023853336</c:v>
                </c:pt>
                <c:pt idx="10">
                  <c:v>5022.1493287186813</c:v>
                </c:pt>
                <c:pt idx="11">
                  <c:v>5103.1187691104178</c:v>
                </c:pt>
                <c:pt idx="12">
                  <c:v>5195.5160642926385</c:v>
                </c:pt>
                <c:pt idx="13">
                  <c:v>5299.0832939312513</c:v>
                </c:pt>
                <c:pt idx="14">
                  <c:v>5413.8700580907316</c:v>
                </c:pt>
                <c:pt idx="15">
                  <c:v>5539.9656368863471</c:v>
                </c:pt>
                <c:pt idx="16">
                  <c:v>5677.2013900999818</c:v>
                </c:pt>
                <c:pt idx="17">
                  <c:v>5826.0534783480334</c:v>
                </c:pt>
                <c:pt idx="18">
                  <c:v>5986.5304813012481</c:v>
                </c:pt>
                <c:pt idx="19">
                  <c:v>6157.9916860498488</c:v>
                </c:pt>
                <c:pt idx="20">
                  <c:v>6340.7535723261535</c:v>
                </c:pt>
                <c:pt idx="21">
                  <c:v>6534.8161401487887</c:v>
                </c:pt>
                <c:pt idx="22">
                  <c:v>6740.179389514029</c:v>
                </c:pt>
                <c:pt idx="23">
                  <c:v>6956.8433204069734</c:v>
                </c:pt>
                <c:pt idx="24">
                  <c:v>7184.8079328499734</c:v>
                </c:pt>
                <c:pt idx="25">
                  <c:v>7424.0732268206775</c:v>
                </c:pt>
                <c:pt idx="26">
                  <c:v>7674.6392023414373</c:v>
                </c:pt>
                <c:pt idx="27">
                  <c:v>7936.5058593973517</c:v>
                </c:pt>
                <c:pt idx="28">
                  <c:v>8209.6731979884207</c:v>
                </c:pt>
                <c:pt idx="29">
                  <c:v>8494.1412181220949</c:v>
                </c:pt>
                <c:pt idx="30">
                  <c:v>8789.9099197983742</c:v>
                </c:pt>
                <c:pt idx="31">
                  <c:v>9096.9793030060828</c:v>
                </c:pt>
                <c:pt idx="32">
                  <c:v>9415.3493677601218</c:v>
                </c:pt>
                <c:pt idx="33">
                  <c:v>9745.0201140493155</c:v>
                </c:pt>
                <c:pt idx="34">
                  <c:v>10085.991541873664</c:v>
                </c:pt>
                <c:pt idx="35">
                  <c:v>10438.263651244342</c:v>
                </c:pt>
                <c:pt idx="36">
                  <c:v>10801.836442153901</c:v>
                </c:pt>
                <c:pt idx="37">
                  <c:v>11176.709914594889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1B9-4103-8E5E-71BAA7A55B4B}"/>
            </c:ext>
          </c:extLst>
        </c:ser>
        <c:ser>
          <c:idx val="4"/>
          <c:order val="1"/>
          <c:tx>
            <c:strRef>
              <c:f>'Mitigacion NOM VE@20% (al 2050)'!$G$133</c:f>
              <c:strCache>
                <c:ptCount val="1"/>
                <c:pt idx="0">
                  <c:v>Emisiones de autos posteriores a 2018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NOM VE@20% (al 2050)'!$G$134:$G$171</c:f>
              <c:numCache>
                <c:formatCode>#,##0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190.7124919777599</c:v>
                </c:pt>
                <c:pt idx="6">
                  <c:v>383.73169905376483</c:v>
                </c:pt>
                <c:pt idx="7">
                  <c:v>575.79022424019638</c:v>
                </c:pt>
                <c:pt idx="8">
                  <c:v>764.25962459087987</c:v>
                </c:pt>
                <c:pt idx="9">
                  <c:v>948.27099166332164</c:v>
                </c:pt>
                <c:pt idx="10">
                  <c:v>1127.5935155603872</c:v>
                </c:pt>
                <c:pt idx="11">
                  <c:v>1302.1263723239044</c:v>
                </c:pt>
                <c:pt idx="12">
                  <c:v>1471.9224192676895</c:v>
                </c:pt>
                <c:pt idx="13">
                  <c:v>1644.851427570896</c:v>
                </c:pt>
                <c:pt idx="14">
                  <c:v>1821.04984199554</c:v>
                </c:pt>
                <c:pt idx="15">
                  <c:v>2000.7559830316393</c:v>
                </c:pt>
                <c:pt idx="16">
                  <c:v>2184.3031706113929</c:v>
                </c:pt>
                <c:pt idx="17">
                  <c:v>2372.1872818405309</c:v>
                </c:pt>
                <c:pt idx="18">
                  <c:v>2563.4390794534606</c:v>
                </c:pt>
                <c:pt idx="19">
                  <c:v>2757.7033178771239</c:v>
                </c:pt>
                <c:pt idx="20">
                  <c:v>2954.6247515384566</c:v>
                </c:pt>
                <c:pt idx="21">
                  <c:v>3153.8481348644</c:v>
                </c:pt>
                <c:pt idx="22">
                  <c:v>3355.018222281893</c:v>
                </c:pt>
                <c:pt idx="23">
                  <c:v>3557.7797682178707</c:v>
                </c:pt>
                <c:pt idx="24">
                  <c:v>3761.7775270992752</c:v>
                </c:pt>
                <c:pt idx="25">
                  <c:v>3948.3427026564423</c:v>
                </c:pt>
                <c:pt idx="26">
                  <c:v>4003.2781791205857</c:v>
                </c:pt>
                <c:pt idx="27">
                  <c:v>4056.2550540362577</c:v>
                </c:pt>
                <c:pt idx="28">
                  <c:v>4107.2962107280291</c:v>
                </c:pt>
                <c:pt idx="29">
                  <c:v>4156.4245325196234</c:v>
                </c:pt>
                <c:pt idx="30">
                  <c:v>4203.6629027343179</c:v>
                </c:pt>
                <c:pt idx="31">
                  <c:v>4249.0342046967826</c:v>
                </c:pt>
                <c:pt idx="32">
                  <c:v>4292.5613217307555</c:v>
                </c:pt>
                <c:pt idx="33">
                  <c:v>4334.2671371598508</c:v>
                </c:pt>
                <c:pt idx="34">
                  <c:v>4374.1745343079783</c:v>
                </c:pt>
                <c:pt idx="35">
                  <c:v>4412.3063964993044</c:v>
                </c:pt>
                <c:pt idx="36">
                  <c:v>4448.6856070577196</c:v>
                </c:pt>
                <c:pt idx="37">
                  <c:v>4483.33504930664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1B9-4103-8E5E-71BAA7A55B4B}"/>
            </c:ext>
          </c:extLst>
        </c:ser>
        <c:ser>
          <c:idx val="5"/>
          <c:order val="2"/>
          <c:tx>
            <c:strRef>
              <c:f>'Mitigacion NOM VE@20% (al 2050)'!$H$133</c:f>
              <c:strCache>
                <c:ptCount val="1"/>
                <c:pt idx="0">
                  <c:v>Emisiones de autos anteriores a 2018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NOM VE@20% (al 2050)'!$H$134:$H$171</c:f>
              <c:numCache>
                <c:formatCode>#,##0</c:formatCode>
                <c:ptCount val="3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4572.9047607923612</c:v>
                </c:pt>
                <c:pt idx="6">
                  <c:v>4374.8827982689982</c:v>
                </c:pt>
                <c:pt idx="7">
                  <c:v>4178.1480588033046</c:v>
                </c:pt>
                <c:pt idx="8">
                  <c:v>3982.5406391933921</c:v>
                </c:pt>
                <c:pt idx="9">
                  <c:v>3788.1330883649975</c:v>
                </c:pt>
                <c:pt idx="10">
                  <c:v>3594.6941276091529</c:v>
                </c:pt>
                <c:pt idx="11">
                  <c:v>3401.7275357727162</c:v>
                </c:pt>
                <c:pt idx="12">
                  <c:v>3209.4200578255795</c:v>
                </c:pt>
                <c:pt idx="13">
                  <c:v>3016.9885445153573</c:v>
                </c:pt>
                <c:pt idx="14">
                  <c:v>2823.7634828396313</c:v>
                </c:pt>
                <c:pt idx="15">
                  <c:v>2628.8861810769477</c:v>
                </c:pt>
                <c:pt idx="16">
                  <c:v>2431.0033800523147</c:v>
                </c:pt>
                <c:pt idx="17">
                  <c:v>2229.0223114014152</c:v>
                </c:pt>
                <c:pt idx="18">
                  <c:v>1995.7845372202291</c:v>
                </c:pt>
                <c:pt idx="19">
                  <c:v>1751.3025308866104</c:v>
                </c:pt>
                <c:pt idx="20">
                  <c:v>1491.286888510172</c:v>
                </c:pt>
                <c:pt idx="21">
                  <c:v>1215.7376100921254</c:v>
                </c:pt>
                <c:pt idx="22">
                  <c:v>924.65469563165902</c:v>
                </c:pt>
                <c:pt idx="23">
                  <c:v>618.03814512918518</c:v>
                </c:pt>
                <c:pt idx="24">
                  <c:v>295.88795858307424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1B9-4103-8E5E-71BAA7A55B4B}"/>
            </c:ext>
          </c:extLst>
        </c:ser>
        <c:ser>
          <c:idx val="6"/>
          <c:order val="3"/>
          <c:tx>
            <c:strRef>
              <c:f>'Mitigacion NOM VE@20% (al 2050)'!$I$133</c:f>
              <c:strCache>
                <c:ptCount val="1"/>
                <c:pt idx="0">
                  <c:v>Emisiones de autos anteriores y posteriores a 2018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'Mitigacion NOM VE@20%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NOM VE@20% (al 2050)'!$I$134:$I$171</c:f>
              <c:numCache>
                <c:formatCode>#,##0</c:formatCode>
                <c:ptCount val="3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4763.617252770121</c:v>
                </c:pt>
                <c:pt idx="6">
                  <c:v>4758.6144973227629</c:v>
                </c:pt>
                <c:pt idx="7">
                  <c:v>4753.9382830435006</c:v>
                </c:pt>
                <c:pt idx="8">
                  <c:v>4746.8002637842719</c:v>
                </c:pt>
                <c:pt idx="9">
                  <c:v>4736.4040800283192</c:v>
                </c:pt>
                <c:pt idx="10">
                  <c:v>4722.2876431695404</c:v>
                </c:pt>
                <c:pt idx="11">
                  <c:v>4703.8539080966202</c:v>
                </c:pt>
                <c:pt idx="12">
                  <c:v>4681.3424770932688</c:v>
                </c:pt>
                <c:pt idx="13">
                  <c:v>4661.8399720862535</c:v>
                </c:pt>
                <c:pt idx="14">
                  <c:v>4644.8133248351714</c:v>
                </c:pt>
                <c:pt idx="15">
                  <c:v>4629.6421641085872</c:v>
                </c:pt>
                <c:pt idx="16">
                  <c:v>4615.3065506637076</c:v>
                </c:pt>
                <c:pt idx="17">
                  <c:v>4601.2095932419461</c:v>
                </c:pt>
                <c:pt idx="18">
                  <c:v>4559.2236166736893</c:v>
                </c:pt>
                <c:pt idx="19">
                  <c:v>4509.0058487637343</c:v>
                </c:pt>
                <c:pt idx="20">
                  <c:v>4445.9116400486291</c:v>
                </c:pt>
                <c:pt idx="21">
                  <c:v>4369.5857449565256</c:v>
                </c:pt>
                <c:pt idx="22">
                  <c:v>4279.6729179135518</c:v>
                </c:pt>
                <c:pt idx="23">
                  <c:v>4175.8179133470558</c:v>
                </c:pt>
                <c:pt idx="24">
                  <c:v>4057.6654856823493</c:v>
                </c:pt>
                <c:pt idx="25">
                  <c:v>3948.3427026564423</c:v>
                </c:pt>
                <c:pt idx="26">
                  <c:v>4003.2781791205857</c:v>
                </c:pt>
                <c:pt idx="27">
                  <c:v>4056.2550540362577</c:v>
                </c:pt>
                <c:pt idx="28">
                  <c:v>4107.2962107280291</c:v>
                </c:pt>
                <c:pt idx="29">
                  <c:v>4156.4245325196234</c:v>
                </c:pt>
                <c:pt idx="30">
                  <c:v>4203.6629027343179</c:v>
                </c:pt>
                <c:pt idx="31">
                  <c:v>4249.0342046967826</c:v>
                </c:pt>
                <c:pt idx="32">
                  <c:v>4292.5613217307555</c:v>
                </c:pt>
                <c:pt idx="33">
                  <c:v>4334.2671371598508</c:v>
                </c:pt>
                <c:pt idx="34">
                  <c:v>4374.1745343079783</c:v>
                </c:pt>
                <c:pt idx="35">
                  <c:v>4412.3063964993044</c:v>
                </c:pt>
                <c:pt idx="36">
                  <c:v>4448.6856070577196</c:v>
                </c:pt>
                <c:pt idx="37">
                  <c:v>4483.33504930664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1B9-4103-8E5E-71BAA7A55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813968"/>
        <c:axId val="487815280"/>
      </c:scatterChart>
      <c:valAx>
        <c:axId val="487813968"/>
        <c:scaling>
          <c:orientation val="minMax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5280"/>
        <c:crosses val="autoZero"/>
        <c:crossBetween val="midCat"/>
        <c:majorUnit val="2"/>
      </c:valAx>
      <c:valAx>
        <c:axId val="4878152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936280746395247E-2"/>
          <c:y val="3.4928492849284926E-2"/>
          <c:w val="0.94271287713558705"/>
          <c:h val="0.818773877387738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'Mitigacion VE@60% (al 2050)'!$C$133</c:f>
              <c:strCache>
                <c:ptCount val="1"/>
                <c:pt idx="0">
                  <c:v>Autos en circulación en Chihuahua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'Mitigacion VE@60%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VE@60% (al 2050)'!$C$134:$C$171</c:f>
              <c:numCache>
                <c:formatCode>#,##0</c:formatCode>
                <c:ptCount val="3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1166385.7116395417</c:v>
                </c:pt>
                <c:pt idx="6">
                  <c:v>1206991.5861911501</c:v>
                </c:pt>
                <c:pt idx="7">
                  <c:v>1247784.1313553418</c:v>
                </c:pt>
                <c:pt idx="8">
                  <c:v>1288748.2711188961</c:v>
                </c:pt>
                <c:pt idx="9">
                  <c:v>1329857.3224403893</c:v>
                </c:pt>
                <c:pt idx="10">
                  <c:v>1371090.8945916586</c:v>
                </c:pt>
                <c:pt idx="11">
                  <c:v>1412434.5035978679</c:v>
                </c:pt>
                <c:pt idx="12">
                  <c:v>1453842.0175012546</c:v>
                </c:pt>
                <c:pt idx="13">
                  <c:v>1495296.6218874408</c:v>
                </c:pt>
                <c:pt idx="14">
                  <c:v>1536770.45903657</c:v>
                </c:pt>
                <c:pt idx="15">
                  <c:v>1578233.9588539612</c:v>
                </c:pt>
                <c:pt idx="16">
                  <c:v>1619667.6062884759</c:v>
                </c:pt>
                <c:pt idx="17">
                  <c:v>1661026.0804002865</c:v>
                </c:pt>
                <c:pt idx="18">
                  <c:v>1699877.2219293118</c:v>
                </c:pt>
                <c:pt idx="19">
                  <c:v>1739712.7580529451</c:v>
                </c:pt>
                <c:pt idx="20">
                  <c:v>1779272.0068622828</c:v>
                </c:pt>
                <c:pt idx="21">
                  <c:v>1818554.9683576822</c:v>
                </c:pt>
                <c:pt idx="22">
                  <c:v>1857561.6425389051</c:v>
                </c:pt>
                <c:pt idx="23">
                  <c:v>1896292.0294060707</c:v>
                </c:pt>
                <c:pt idx="24">
                  <c:v>1934746.1289587021</c:v>
                </c:pt>
                <c:pt idx="25">
                  <c:v>1972923.9411973953</c:v>
                </c:pt>
                <c:pt idx="26">
                  <c:v>2010825.466121912</c:v>
                </c:pt>
                <c:pt idx="27">
                  <c:v>2048450.7037320137</c:v>
                </c:pt>
                <c:pt idx="28">
                  <c:v>2085799.6540281773</c:v>
                </c:pt>
                <c:pt idx="29">
                  <c:v>2122872.3170102835</c:v>
                </c:pt>
                <c:pt idx="30">
                  <c:v>2159668.6926778555</c:v>
                </c:pt>
                <c:pt idx="31">
                  <c:v>2196188.7810314894</c:v>
                </c:pt>
                <c:pt idx="32">
                  <c:v>2232432.5820710659</c:v>
                </c:pt>
                <c:pt idx="33">
                  <c:v>2268400.0957963467</c:v>
                </c:pt>
                <c:pt idx="34">
                  <c:v>2304091.3222073317</c:v>
                </c:pt>
                <c:pt idx="35">
                  <c:v>2339506.2613042593</c:v>
                </c:pt>
                <c:pt idx="36">
                  <c:v>2374644.9130871296</c:v>
                </c:pt>
                <c:pt idx="37">
                  <c:v>2409507.2775554657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EB4-4A8B-9B03-5B347AB62A23}"/>
            </c:ext>
          </c:extLst>
        </c:ser>
        <c:ser>
          <c:idx val="1"/>
          <c:order val="1"/>
          <c:tx>
            <c:strRef>
              <c:f>'Mitigacion VE@60% (al 2050)'!$D$133</c:f>
              <c:strCache>
                <c:ptCount val="1"/>
                <c:pt idx="0">
                  <c:v>Autos posteriores a NOM163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'Mitigacion VE@60%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VE@60% (al 2050)'!$D$134:$D$171</c:f>
              <c:numCache>
                <c:formatCode>#,##0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51642.285714285448</c:v>
                </c:pt>
                <c:pt idx="6">
                  <c:v>107573.71428571269</c:v>
                </c:pt>
                <c:pt idx="7">
                  <c:v>167794.28571428359</c:v>
                </c:pt>
                <c:pt idx="8">
                  <c:v>232303.99999999817</c:v>
                </c:pt>
                <c:pt idx="9">
                  <c:v>301102.85714285454</c:v>
                </c:pt>
                <c:pt idx="10">
                  <c:v>374190.85714285454</c:v>
                </c:pt>
                <c:pt idx="11">
                  <c:v>451567.99999999633</c:v>
                </c:pt>
                <c:pt idx="12">
                  <c:v>533234.28571428184</c:v>
                </c:pt>
                <c:pt idx="13">
                  <c:v>619189.71428570908</c:v>
                </c:pt>
                <c:pt idx="14">
                  <c:v>709434.28571427998</c:v>
                </c:pt>
                <c:pt idx="15">
                  <c:v>803967.99999999441</c:v>
                </c:pt>
                <c:pt idx="16">
                  <c:v>902790.85714285087</c:v>
                </c:pt>
                <c:pt idx="17">
                  <c:v>1005902.8571428509</c:v>
                </c:pt>
                <c:pt idx="18">
                  <c:v>1113303.999999993</c:v>
                </c:pt>
                <c:pt idx="19">
                  <c:v>1224994.2857142785</c:v>
                </c:pt>
                <c:pt idx="20">
                  <c:v>1340973.7142857057</c:v>
                </c:pt>
                <c:pt idx="21">
                  <c:v>1461242.2857142766</c:v>
                </c:pt>
                <c:pt idx="22">
                  <c:v>1585799.9999999912</c:v>
                </c:pt>
                <c:pt idx="23">
                  <c:v>1714646.8571428475</c:v>
                </c:pt>
                <c:pt idx="24">
                  <c:v>1847782.8571428475</c:v>
                </c:pt>
                <c:pt idx="25">
                  <c:v>1972923.9411973956</c:v>
                </c:pt>
                <c:pt idx="26">
                  <c:v>2010825.4661219122</c:v>
                </c:pt>
                <c:pt idx="27">
                  <c:v>2048450.7037320137</c:v>
                </c:pt>
                <c:pt idx="28">
                  <c:v>2085799.6540281773</c:v>
                </c:pt>
                <c:pt idx="29">
                  <c:v>2122872.3170102835</c:v>
                </c:pt>
                <c:pt idx="30">
                  <c:v>2159668.6926778555</c:v>
                </c:pt>
                <c:pt idx="31">
                  <c:v>2196188.7810314894</c:v>
                </c:pt>
                <c:pt idx="32">
                  <c:v>2232432.5820710659</c:v>
                </c:pt>
                <c:pt idx="33">
                  <c:v>2268400.0957963467</c:v>
                </c:pt>
                <c:pt idx="34">
                  <c:v>2304091.3222073317</c:v>
                </c:pt>
                <c:pt idx="35">
                  <c:v>2339506.2613042593</c:v>
                </c:pt>
                <c:pt idx="36">
                  <c:v>2374644.9130871296</c:v>
                </c:pt>
                <c:pt idx="37">
                  <c:v>2409507.2775554657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EB4-4A8B-9B03-5B347AB62A23}"/>
            </c:ext>
          </c:extLst>
        </c:ser>
        <c:ser>
          <c:idx val="2"/>
          <c:order val="2"/>
          <c:tx>
            <c:strRef>
              <c:f>'Mitigacion VE@60% (al 2050)'!$E$133</c:f>
              <c:strCache>
                <c:ptCount val="1"/>
                <c:pt idx="0">
                  <c:v>Autos anteriores a NOM163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'Mitigacion VE@60%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VE@60% (al 2050)'!$E$134:$E$171</c:f>
              <c:numCache>
                <c:formatCode>#,##0</c:formatCode>
                <c:ptCount val="3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1114743.4259252562</c:v>
                </c:pt>
                <c:pt idx="6">
                  <c:v>1099417.8719054374</c:v>
                </c:pt>
                <c:pt idx="7">
                  <c:v>1079989.8456410582</c:v>
                </c:pt>
                <c:pt idx="8">
                  <c:v>1056444.2711188979</c:v>
                </c:pt>
                <c:pt idx="9">
                  <c:v>1028754.4652975346</c:v>
                </c:pt>
                <c:pt idx="10">
                  <c:v>996900.03744880413</c:v>
                </c:pt>
                <c:pt idx="11">
                  <c:v>960866.50359787163</c:v>
                </c:pt>
                <c:pt idx="12">
                  <c:v>920607.73178697273</c:v>
                </c:pt>
                <c:pt idx="13">
                  <c:v>876106.90760173171</c:v>
                </c:pt>
                <c:pt idx="14">
                  <c:v>827336.17332229007</c:v>
                </c:pt>
                <c:pt idx="15">
                  <c:v>774265.95885396679</c:v>
                </c:pt>
                <c:pt idx="16">
                  <c:v>716876.74914562504</c:v>
                </c:pt>
                <c:pt idx="17">
                  <c:v>655123.2232574356</c:v>
                </c:pt>
                <c:pt idx="18">
                  <c:v>586573.22192931885</c:v>
                </c:pt>
                <c:pt idx="19">
                  <c:v>514718.47233866679</c:v>
                </c:pt>
                <c:pt idx="20">
                  <c:v>438298.29257657717</c:v>
                </c:pt>
                <c:pt idx="21">
                  <c:v>357312.68264340574</c:v>
                </c:pt>
                <c:pt idx="22">
                  <c:v>271761.64253891411</c:v>
                </c:pt>
                <c:pt idx="23">
                  <c:v>181645.17226322333</c:v>
                </c:pt>
                <c:pt idx="24">
                  <c:v>86963.271815854707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EB4-4A8B-9B03-5B347AB62A23}"/>
            </c:ext>
          </c:extLst>
        </c:ser>
        <c:ser>
          <c:idx val="3"/>
          <c:order val="3"/>
          <c:tx>
            <c:strRef>
              <c:f>'Mitigacion VE@60% (al 2050)'!$L$48</c:f>
              <c:strCache>
                <c:ptCount val="1"/>
                <c:pt idx="0">
                  <c:v>Acumulado Vehículos eléctricos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'Mitigacion VE@60% (al 2050)'!$B$55:$B$86</c:f>
              <c:numCache>
                <c:formatCode>General</c:formatCode>
                <c:ptCount val="3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</c:numCache>
            </c:numRef>
          </c:xVal>
          <c:yVal>
            <c:numRef>
              <c:f>'Mitigacion VE@60% (al 2050)'!$L$55:$L$86</c:f>
              <c:numCache>
                <c:formatCode>#,##0</c:formatCode>
                <c:ptCount val="32"/>
                <c:pt idx="0">
                  <c:v>479</c:v>
                </c:pt>
                <c:pt idx="1">
                  <c:v>3763.7584415584124</c:v>
                </c:pt>
                <c:pt idx="2">
                  <c:v>10801.181818181818</c:v>
                </c:pt>
                <c:pt idx="3">
                  <c:v>22059.176623376494</c:v>
                </c:pt>
                <c:pt idx="4">
                  <c:v>38005.649350649219</c:v>
                </c:pt>
                <c:pt idx="5">
                  <c:v>59108.506493506065</c:v>
                </c:pt>
                <c:pt idx="6">
                  <c:v>85835.654545454032</c:v>
                </c:pt>
                <c:pt idx="7">
                  <c:v>118654.99999999898</c:v>
                </c:pt>
                <c:pt idx="8">
                  <c:v>158034.44935064809</c:v>
                </c:pt>
                <c:pt idx="9">
                  <c:v>204441.90909090795</c:v>
                </c:pt>
                <c:pt idx="10">
                  <c:v>258345.28571428414</c:v>
                </c:pt>
                <c:pt idx="11">
                  <c:v>320212.48571428412</c:v>
                </c:pt>
                <c:pt idx="12">
                  <c:v>390511.41558441345</c:v>
                </c:pt>
                <c:pt idx="13">
                  <c:v>469709.98181817948</c:v>
                </c:pt>
                <c:pt idx="14">
                  <c:v>558276.09090908756</c:v>
                </c:pt>
                <c:pt idx="15">
                  <c:v>656677.6493506456</c:v>
                </c:pt>
                <c:pt idx="16">
                  <c:v>765382.56363636011</c:v>
                </c:pt>
                <c:pt idx="17">
                  <c:v>884858.74025973596</c:v>
                </c:pt>
                <c:pt idx="18">
                  <c:v>1015574.0857142814</c:v>
                </c:pt>
                <c:pt idx="19">
                  <c:v>1145265.7546435404</c:v>
                </c:pt>
                <c:pt idx="20">
                  <c:v>1186612.8727430131</c:v>
                </c:pt>
                <c:pt idx="21">
                  <c:v>1229710.8721873113</c:v>
                </c:pt>
                <c:pt idx="22">
                  <c:v>1274529.6125427075</c:v>
                </c:pt>
                <c:pt idx="23">
                  <c:v>1321038.9533748045</c:v>
                </c:pt>
                <c:pt idx="24">
                  <c:v>1369208.7542487169</c:v>
                </c:pt>
                <c:pt idx="25">
                  <c:v>1419008.8747309449</c:v>
                </c:pt>
                <c:pt idx="26">
                  <c:v>1470409.1743870715</c:v>
                </c:pt>
                <c:pt idx="27">
                  <c:v>1523379.512782485</c:v>
                </c:pt>
                <c:pt idx="28">
                  <c:v>1577889.7494828985</c:v>
                </c:pt>
                <c:pt idx="29">
                  <c:v>1633909.7440544022</c:v>
                </c:pt>
                <c:pt idx="30">
                  <c:v>1691409.3560627354</c:v>
                </c:pt>
                <c:pt idx="31">
                  <c:v>1750358.4450728311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EB4-4A8B-9B03-5B347AB62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7159584"/>
        <c:axId val="837162536"/>
      </c:scatterChart>
      <c:valAx>
        <c:axId val="837159584"/>
        <c:scaling>
          <c:orientation val="minMax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62536"/>
        <c:crosses val="autoZero"/>
        <c:crossBetween val="midCat"/>
        <c:majorUnit val="2"/>
      </c:valAx>
      <c:valAx>
        <c:axId val="8371625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59584"/>
        <c:crosses val="autoZero"/>
        <c:crossBetween val="midCat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'Mitigacion VE@60% (al 2050)'!$C$192</c:f>
          <c:strCache>
            <c:ptCount val="1"/>
            <c:pt idx="0">
              <c:v>Emisiones de Autos Inventario Chihuahua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forward val="20"/>
            <c:dispRSqr val="0"/>
            <c:dispEq val="0"/>
          </c:trendline>
          <c:xVal>
            <c:numRef>
              <c:f>'Mitigacion VE@60% (al 2050)'!$B$197:$B$210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xVal>
          <c:yVal>
            <c:numRef>
              <c:f>'Mitigacion VE@60% (al 2050)'!$C$197:$C$210</c:f>
              <c:numCache>
                <c:formatCode>#,##0</c:formatCode>
                <c:ptCount val="14"/>
                <c:pt idx="0">
                  <c:v>4774.6817019902828</c:v>
                </c:pt>
                <c:pt idx="1">
                  <c:v>4784.7519434793039</c:v>
                </c:pt>
                <c:pt idx="2">
                  <c:v>4809.2963508437269</c:v>
                </c:pt>
                <c:pt idx="3">
                  <c:v>4845.536453345142</c:v>
                </c:pt>
                <c:pt idx="4">
                  <c:v>4893.1151305214926</c:v>
                </c:pt>
                <c:pt idx="5">
                  <c:v>4952.0423023853336</c:v>
                </c:pt>
                <c:pt idx="6">
                  <c:v>5022.1493287186813</c:v>
                </c:pt>
                <c:pt idx="7">
                  <c:v>5103.1187691104178</c:v>
                </c:pt>
                <c:pt idx="8">
                  <c:v>5195.5160642926385</c:v>
                </c:pt>
                <c:pt idx="9">
                  <c:v>5299.0832939312513</c:v>
                </c:pt>
                <c:pt idx="10">
                  <c:v>5413.8700580907316</c:v>
                </c:pt>
                <c:pt idx="11">
                  <c:v>5539.9656368863471</c:v>
                </c:pt>
                <c:pt idx="12">
                  <c:v>5677.2013900999818</c:v>
                </c:pt>
                <c:pt idx="13">
                  <c:v>5826.0534783480334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F9-4F4E-ABAE-E95176A92174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'Mitigacion VE@60% (al 2050)'!$B$211:$B$230</c:f>
              <c:numCache>
                <c:formatCode>General</c:formatCode>
                <c:ptCount val="20"/>
                <c:pt idx="0">
                  <c:v>2031</c:v>
                </c:pt>
                <c:pt idx="1">
                  <c:v>2032</c:v>
                </c:pt>
                <c:pt idx="2">
                  <c:v>2033</c:v>
                </c:pt>
                <c:pt idx="3">
                  <c:v>2034</c:v>
                </c:pt>
                <c:pt idx="4">
                  <c:v>2035</c:v>
                </c:pt>
                <c:pt idx="5">
                  <c:v>2036</c:v>
                </c:pt>
                <c:pt idx="6">
                  <c:v>2037</c:v>
                </c:pt>
                <c:pt idx="7">
                  <c:v>2038</c:v>
                </c:pt>
                <c:pt idx="8">
                  <c:v>2039</c:v>
                </c:pt>
                <c:pt idx="9">
                  <c:v>2040</c:v>
                </c:pt>
                <c:pt idx="10">
                  <c:v>2041</c:v>
                </c:pt>
                <c:pt idx="11">
                  <c:v>2042</c:v>
                </c:pt>
                <c:pt idx="12">
                  <c:v>2043</c:v>
                </c:pt>
                <c:pt idx="13">
                  <c:v>2044</c:v>
                </c:pt>
                <c:pt idx="14">
                  <c:v>2045</c:v>
                </c:pt>
                <c:pt idx="15">
                  <c:v>2046</c:v>
                </c:pt>
                <c:pt idx="16">
                  <c:v>2047</c:v>
                </c:pt>
                <c:pt idx="17">
                  <c:v>2048</c:v>
                </c:pt>
                <c:pt idx="18">
                  <c:v>2049</c:v>
                </c:pt>
                <c:pt idx="19">
                  <c:v>2050</c:v>
                </c:pt>
              </c:numCache>
            </c:numRef>
          </c:xVal>
          <c:yVal>
            <c:numRef>
              <c:f>'Mitigacion VE@60% (al 2050)'!$C$211:$C$230</c:f>
              <c:numCache>
                <c:formatCode>#,##0</c:formatCode>
                <c:ptCount val="20"/>
                <c:pt idx="0">
                  <c:v>5986.5304813012481</c:v>
                </c:pt>
                <c:pt idx="1">
                  <c:v>6157.9916860498488</c:v>
                </c:pt>
                <c:pt idx="2">
                  <c:v>6340.7535723261535</c:v>
                </c:pt>
                <c:pt idx="3">
                  <c:v>6534.8161401487887</c:v>
                </c:pt>
                <c:pt idx="4">
                  <c:v>6740.179389514029</c:v>
                </c:pt>
                <c:pt idx="5">
                  <c:v>6956.8433204069734</c:v>
                </c:pt>
                <c:pt idx="6">
                  <c:v>7184.8079328499734</c:v>
                </c:pt>
                <c:pt idx="7">
                  <c:v>7424.0732268206775</c:v>
                </c:pt>
                <c:pt idx="8">
                  <c:v>7674.6392023414373</c:v>
                </c:pt>
                <c:pt idx="9">
                  <c:v>7936.5058593973517</c:v>
                </c:pt>
                <c:pt idx="10">
                  <c:v>8209.6731979884207</c:v>
                </c:pt>
                <c:pt idx="11">
                  <c:v>8494.1412181220949</c:v>
                </c:pt>
                <c:pt idx="12">
                  <c:v>8789.9099197983742</c:v>
                </c:pt>
                <c:pt idx="13">
                  <c:v>9096.9793030060828</c:v>
                </c:pt>
                <c:pt idx="14">
                  <c:v>9415.3493677601218</c:v>
                </c:pt>
                <c:pt idx="15">
                  <c:v>9745.0201140493155</c:v>
                </c:pt>
                <c:pt idx="16">
                  <c:v>10085.991541873664</c:v>
                </c:pt>
                <c:pt idx="17">
                  <c:v>10438.263651244342</c:v>
                </c:pt>
                <c:pt idx="18">
                  <c:v>10801.836442153901</c:v>
                </c:pt>
                <c:pt idx="19">
                  <c:v>11176.709914594889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5F9-4F4E-ABAE-E95176A92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6306384"/>
        <c:axId val="806307040"/>
      </c:scatterChart>
      <c:valAx>
        <c:axId val="806306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06307040"/>
        <c:crosses val="autoZero"/>
        <c:crossBetween val="midCat"/>
      </c:valAx>
      <c:valAx>
        <c:axId val="806307040"/>
        <c:scaling>
          <c:orientation val="minMax"/>
          <c:min val="4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0630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3"/>
          <c:order val="0"/>
          <c:tx>
            <c:strRef>
              <c:f>'Mitigacion VE@60% (al 2050)'!$C$192</c:f>
              <c:strCache>
                <c:ptCount val="1"/>
                <c:pt idx="0">
                  <c:v>Emisiones de Autos Inventario Chihuahua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'Mitigacion VE@60% (al 2050)'!$B$193:$B$230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VE@60% (al 2050)'!$C$193:$C$230</c:f>
              <c:numCache>
                <c:formatCode>#,##0</c:formatCode>
                <c:ptCount val="38"/>
                <c:pt idx="0">
                  <c:v>4488.9048500498293</c:v>
                </c:pt>
                <c:pt idx="1">
                  <c:v>4409.1759291458902</c:v>
                </c:pt>
                <c:pt idx="2">
                  <c:v>4697.8044143992256</c:v>
                </c:pt>
                <c:pt idx="3">
                  <c:v>4861.015568828896</c:v>
                </c:pt>
                <c:pt idx="4">
                  <c:v>4774.6817019902828</c:v>
                </c:pt>
                <c:pt idx="5">
                  <c:v>4784.7519434793039</c:v>
                </c:pt>
                <c:pt idx="6">
                  <c:v>4809.2963508437269</c:v>
                </c:pt>
                <c:pt idx="7">
                  <c:v>4845.536453345142</c:v>
                </c:pt>
                <c:pt idx="8">
                  <c:v>4893.1151305214926</c:v>
                </c:pt>
                <c:pt idx="9">
                  <c:v>4952.0423023853336</c:v>
                </c:pt>
                <c:pt idx="10">
                  <c:v>5022.1493287186813</c:v>
                </c:pt>
                <c:pt idx="11">
                  <c:v>5103.1187691104178</c:v>
                </c:pt>
                <c:pt idx="12">
                  <c:v>5195.5160642926385</c:v>
                </c:pt>
                <c:pt idx="13">
                  <c:v>5299.0832939312513</c:v>
                </c:pt>
                <c:pt idx="14">
                  <c:v>5413.8700580907316</c:v>
                </c:pt>
                <c:pt idx="15">
                  <c:v>5539.9656368863471</c:v>
                </c:pt>
                <c:pt idx="16">
                  <c:v>5677.2013900999818</c:v>
                </c:pt>
                <c:pt idx="17">
                  <c:v>5826.0534783480334</c:v>
                </c:pt>
                <c:pt idx="18">
                  <c:v>5986.5304813012481</c:v>
                </c:pt>
                <c:pt idx="19">
                  <c:v>6157.9916860498488</c:v>
                </c:pt>
                <c:pt idx="20">
                  <c:v>6340.7535723261535</c:v>
                </c:pt>
                <c:pt idx="21">
                  <c:v>6534.8161401487887</c:v>
                </c:pt>
                <c:pt idx="22">
                  <c:v>6740.179389514029</c:v>
                </c:pt>
                <c:pt idx="23">
                  <c:v>6956.8433204069734</c:v>
                </c:pt>
                <c:pt idx="24">
                  <c:v>7184.8079328499734</c:v>
                </c:pt>
                <c:pt idx="25">
                  <c:v>7424.0732268206775</c:v>
                </c:pt>
                <c:pt idx="26">
                  <c:v>7674.6392023414373</c:v>
                </c:pt>
                <c:pt idx="27">
                  <c:v>7936.5058593973517</c:v>
                </c:pt>
                <c:pt idx="28">
                  <c:v>8209.6731979884207</c:v>
                </c:pt>
                <c:pt idx="29">
                  <c:v>8494.1412181220949</c:v>
                </c:pt>
                <c:pt idx="30">
                  <c:v>8789.9099197983742</c:v>
                </c:pt>
                <c:pt idx="31">
                  <c:v>9096.9793030060828</c:v>
                </c:pt>
                <c:pt idx="32">
                  <c:v>9415.3493677601218</c:v>
                </c:pt>
                <c:pt idx="33">
                  <c:v>9745.0201140493155</c:v>
                </c:pt>
                <c:pt idx="34">
                  <c:v>10085.991541873664</c:v>
                </c:pt>
                <c:pt idx="35">
                  <c:v>10438.263651244342</c:v>
                </c:pt>
                <c:pt idx="36">
                  <c:v>10801.836442153901</c:v>
                </c:pt>
                <c:pt idx="37">
                  <c:v>11176.709914594889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CD-4FB2-9185-6BB1FB572F9E}"/>
            </c:ext>
          </c:extLst>
        </c:ser>
        <c:ser>
          <c:idx val="4"/>
          <c:order val="1"/>
          <c:tx>
            <c:strRef>
              <c:f>'Mitigacion VE@60% (al 2050)'!$G$133</c:f>
              <c:strCache>
                <c:ptCount val="1"/>
                <c:pt idx="0">
                  <c:v>Emisiones de autos posteriores a NOM163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'Mitigacion VE@60%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VE@60% (al 2050)'!$G$134:$G$171</c:f>
              <c:numCache>
                <c:formatCode>#,##0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211.03084412307703</c:v>
                </c:pt>
                <c:pt idx="6">
                  <c:v>432.48301783958181</c:v>
                </c:pt>
                <c:pt idx="7">
                  <c:v>652.75014115394049</c:v>
                </c:pt>
                <c:pt idx="8">
                  <c:v>869.40684556351971</c:v>
                </c:pt>
                <c:pt idx="9">
                  <c:v>1081.2867954515718</c:v>
                </c:pt>
                <c:pt idx="10">
                  <c:v>1287.331839903122</c:v>
                </c:pt>
                <c:pt idx="11">
                  <c:v>1486.5580451599751</c:v>
                </c:pt>
                <c:pt idx="12">
                  <c:v>1678.0867107197246</c:v>
                </c:pt>
                <c:pt idx="13">
                  <c:v>1861.0677518153682</c:v>
                </c:pt>
                <c:pt idx="14">
                  <c:v>2034.6744172861208</c:v>
                </c:pt>
                <c:pt idx="15">
                  <c:v>2198.0787928430732</c:v>
                </c:pt>
                <c:pt idx="16">
                  <c:v>2350.4054084059217</c:v>
                </c:pt>
                <c:pt idx="17">
                  <c:v>2490.7386711655022</c:v>
                </c:pt>
                <c:pt idx="18">
                  <c:v>2616.9769994897606</c:v>
                </c:pt>
                <c:pt idx="19">
                  <c:v>2727.5283661437466</c:v>
                </c:pt>
                <c:pt idx="20">
                  <c:v>2820.800743892506</c:v>
                </c:pt>
                <c:pt idx="21">
                  <c:v>2895.2021055010882</c:v>
                </c:pt>
                <c:pt idx="22">
                  <c:v>2949.1404237345405</c:v>
                </c:pt>
                <c:pt idx="23">
                  <c:v>2981.0236713579097</c:v>
                </c:pt>
                <c:pt idx="24">
                  <c:v>2989.2598211362442</c:v>
                </c:pt>
                <c:pt idx="25">
                  <c:v>2973.7766954347603</c:v>
                </c:pt>
                <c:pt idx="26">
                  <c:v>2962.0532458754528</c:v>
                </c:pt>
                <c:pt idx="27">
                  <c:v>2943.4324615705486</c:v>
                </c:pt>
                <c:pt idx="28">
                  <c:v>2918.0168937622138</c:v>
                </c:pt>
                <c:pt idx="29">
                  <c:v>2885.9090936928656</c:v>
                </c:pt>
                <c:pt idx="30">
                  <c:v>2847.2116126053634</c:v>
                </c:pt>
                <c:pt idx="31">
                  <c:v>2802.027001741505</c:v>
                </c:pt>
                <c:pt idx="32">
                  <c:v>2750.4578123437736</c:v>
                </c:pt>
                <c:pt idx="33">
                  <c:v>2692.606595654911</c:v>
                </c:pt>
                <c:pt idx="34">
                  <c:v>2628.5759029173632</c:v>
                </c:pt>
                <c:pt idx="35">
                  <c:v>2558.4682853731051</c:v>
                </c:pt>
                <c:pt idx="36">
                  <c:v>2482.3862942644946</c:v>
                </c:pt>
                <c:pt idx="37">
                  <c:v>2400.4324808350107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BCD-4FB2-9185-6BB1FB572F9E}"/>
            </c:ext>
          </c:extLst>
        </c:ser>
        <c:ser>
          <c:idx val="5"/>
          <c:order val="2"/>
          <c:tx>
            <c:strRef>
              <c:f>'Mitigacion VE@60% (al 2050)'!$H$133</c:f>
              <c:strCache>
                <c:ptCount val="1"/>
                <c:pt idx="0">
                  <c:v>Emisiones de autos anteriores a NOM163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'Mitigacion VE@60%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VE@60% (al 2050)'!$H$134:$H$171</c:f>
              <c:numCache>
                <c:formatCode>#,##0</c:formatCode>
                <c:ptCount val="3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4572.9047607923612</c:v>
                </c:pt>
                <c:pt idx="6">
                  <c:v>4374.8827982689982</c:v>
                </c:pt>
                <c:pt idx="7">
                  <c:v>4178.1480588033037</c:v>
                </c:pt>
                <c:pt idx="8">
                  <c:v>3982.5406391933921</c:v>
                </c:pt>
                <c:pt idx="9">
                  <c:v>3788.1330883649962</c:v>
                </c:pt>
                <c:pt idx="10">
                  <c:v>3594.6941276091529</c:v>
                </c:pt>
                <c:pt idx="11">
                  <c:v>3401.7275357727162</c:v>
                </c:pt>
                <c:pt idx="12">
                  <c:v>3209.4200578255791</c:v>
                </c:pt>
                <c:pt idx="13">
                  <c:v>3016.9885445153564</c:v>
                </c:pt>
                <c:pt idx="14">
                  <c:v>2823.7634828396308</c:v>
                </c:pt>
                <c:pt idx="15">
                  <c:v>2628.8861810769477</c:v>
                </c:pt>
                <c:pt idx="16">
                  <c:v>2431.0033800523142</c:v>
                </c:pt>
                <c:pt idx="17">
                  <c:v>2229.0223114014148</c:v>
                </c:pt>
                <c:pt idx="18">
                  <c:v>1995.7845372202278</c:v>
                </c:pt>
                <c:pt idx="19">
                  <c:v>1751.3025308866092</c:v>
                </c:pt>
                <c:pt idx="20">
                  <c:v>1491.2868885101714</c:v>
                </c:pt>
                <c:pt idx="21">
                  <c:v>1215.7376100921249</c:v>
                </c:pt>
                <c:pt idx="22">
                  <c:v>924.65469563165868</c:v>
                </c:pt>
                <c:pt idx="23">
                  <c:v>618.03814512918461</c:v>
                </c:pt>
                <c:pt idx="24">
                  <c:v>295.8879585830739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BCD-4FB2-9185-6BB1FB572F9E}"/>
            </c:ext>
          </c:extLst>
        </c:ser>
        <c:ser>
          <c:idx val="6"/>
          <c:order val="3"/>
          <c:tx>
            <c:strRef>
              <c:f>'Mitigacion VE@60% (al 2050)'!$I$133</c:f>
              <c:strCache>
                <c:ptCount val="1"/>
                <c:pt idx="0">
                  <c:v>Emisiones de autos anteriores y posteriores a NOM163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'Mitigacion VE@60% (al 2050)'!$B$134:$B$171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VE@60% (al 2050)'!$I$134:$I$171</c:f>
              <c:numCache>
                <c:formatCode>#,##0</c:formatCode>
                <c:ptCount val="3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4783.9356049154385</c:v>
                </c:pt>
                <c:pt idx="6">
                  <c:v>4807.3658161085796</c:v>
                </c:pt>
                <c:pt idx="7">
                  <c:v>4830.8981999572443</c:v>
                </c:pt>
                <c:pt idx="8">
                  <c:v>4851.9474847569118</c:v>
                </c:pt>
                <c:pt idx="9">
                  <c:v>4869.4198838165685</c:v>
                </c:pt>
                <c:pt idx="10">
                  <c:v>4882.0259675122752</c:v>
                </c:pt>
                <c:pt idx="11">
                  <c:v>4888.2855809326911</c:v>
                </c:pt>
                <c:pt idx="12">
                  <c:v>4887.5067685453032</c:v>
                </c:pt>
                <c:pt idx="13">
                  <c:v>4878.0562963307248</c:v>
                </c:pt>
                <c:pt idx="14">
                  <c:v>4858.4379001257512</c:v>
                </c:pt>
                <c:pt idx="15">
                  <c:v>4826.9649739200213</c:v>
                </c:pt>
                <c:pt idx="16">
                  <c:v>4781.4087884582359</c:v>
                </c:pt>
                <c:pt idx="17">
                  <c:v>4719.7609825669169</c:v>
                </c:pt>
                <c:pt idx="18">
                  <c:v>4612.7615367099879</c:v>
                </c:pt>
                <c:pt idx="19">
                  <c:v>4478.830897030356</c:v>
                </c:pt>
                <c:pt idx="20">
                  <c:v>4312.0876324026776</c:v>
                </c:pt>
                <c:pt idx="21">
                  <c:v>4110.9397155932129</c:v>
                </c:pt>
                <c:pt idx="22">
                  <c:v>3873.7951193661993</c:v>
                </c:pt>
                <c:pt idx="23">
                  <c:v>3599.0618164870943</c:v>
                </c:pt>
                <c:pt idx="24">
                  <c:v>3285.1477797193184</c:v>
                </c:pt>
                <c:pt idx="25">
                  <c:v>2973.7766954347603</c:v>
                </c:pt>
                <c:pt idx="26">
                  <c:v>2962.0532458754528</c:v>
                </c:pt>
                <c:pt idx="27">
                  <c:v>2943.4324615705486</c:v>
                </c:pt>
                <c:pt idx="28">
                  <c:v>2918.0168937622138</c:v>
                </c:pt>
                <c:pt idx="29">
                  <c:v>2885.9090936928656</c:v>
                </c:pt>
                <c:pt idx="30">
                  <c:v>2847.2116126053634</c:v>
                </c:pt>
                <c:pt idx="31">
                  <c:v>2802.027001741505</c:v>
                </c:pt>
                <c:pt idx="32">
                  <c:v>2750.4578123437736</c:v>
                </c:pt>
                <c:pt idx="33">
                  <c:v>2692.606595654911</c:v>
                </c:pt>
                <c:pt idx="34">
                  <c:v>2628.5759029173632</c:v>
                </c:pt>
                <c:pt idx="35">
                  <c:v>2558.4682853731051</c:v>
                </c:pt>
                <c:pt idx="36">
                  <c:v>2482.3862942644946</c:v>
                </c:pt>
                <c:pt idx="37">
                  <c:v>2400.4324808350107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BCD-4FB2-9185-6BB1FB572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813968"/>
        <c:axId val="487815280"/>
      </c:scatterChart>
      <c:valAx>
        <c:axId val="487813968"/>
        <c:scaling>
          <c:orientation val="minMax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5280"/>
        <c:crosses val="autoZero"/>
        <c:crossBetween val="midCat"/>
        <c:majorUnit val="2"/>
      </c:valAx>
      <c:valAx>
        <c:axId val="4878152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'Mitigacion VE@60% (al 2050)'!$C$48</c:f>
              <c:strCache>
                <c:ptCount val="1"/>
                <c:pt idx="0">
                  <c:v>Autos [1]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'Mitigacion VE@60% (al 2050)'!$B$49:$B$86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VE@60% (al 2050)'!$C$49:$C$86</c:f>
              <c:numCache>
                <c:formatCode>#,##0</c:formatCode>
                <c:ptCount val="3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1166385.7116395417</c:v>
                </c:pt>
                <c:pt idx="6">
                  <c:v>1206991.5861911501</c:v>
                </c:pt>
                <c:pt idx="7">
                  <c:v>1247784.1313553418</c:v>
                </c:pt>
                <c:pt idx="8">
                  <c:v>1288748.2711188961</c:v>
                </c:pt>
                <c:pt idx="9">
                  <c:v>1329857.3224403893</c:v>
                </c:pt>
                <c:pt idx="10">
                  <c:v>1371090.8945916586</c:v>
                </c:pt>
                <c:pt idx="11">
                  <c:v>1412434.5035978679</c:v>
                </c:pt>
                <c:pt idx="12">
                  <c:v>1453842.0175012546</c:v>
                </c:pt>
                <c:pt idx="13">
                  <c:v>1495296.6218874408</c:v>
                </c:pt>
                <c:pt idx="14">
                  <c:v>1536770.45903657</c:v>
                </c:pt>
                <c:pt idx="15">
                  <c:v>1578233.9588539612</c:v>
                </c:pt>
                <c:pt idx="16">
                  <c:v>1619667.6062884759</c:v>
                </c:pt>
                <c:pt idx="17">
                  <c:v>1661026.0804002865</c:v>
                </c:pt>
                <c:pt idx="18">
                  <c:v>1699877.2219293118</c:v>
                </c:pt>
                <c:pt idx="19">
                  <c:v>1739712.7580529451</c:v>
                </c:pt>
                <c:pt idx="20">
                  <c:v>1779272.0068622828</c:v>
                </c:pt>
                <c:pt idx="21">
                  <c:v>1818554.9683576822</c:v>
                </c:pt>
                <c:pt idx="22">
                  <c:v>1857561.6425389051</c:v>
                </c:pt>
                <c:pt idx="23">
                  <c:v>1896292.0294060707</c:v>
                </c:pt>
                <c:pt idx="24">
                  <c:v>1934746.1289587021</c:v>
                </c:pt>
                <c:pt idx="25">
                  <c:v>1972923.9411973953</c:v>
                </c:pt>
                <c:pt idx="26">
                  <c:v>2010825.466121912</c:v>
                </c:pt>
                <c:pt idx="27">
                  <c:v>2048450.7037320137</c:v>
                </c:pt>
                <c:pt idx="28">
                  <c:v>2085799.6540281773</c:v>
                </c:pt>
                <c:pt idx="29">
                  <c:v>2122872.3170102835</c:v>
                </c:pt>
                <c:pt idx="30">
                  <c:v>2159668.6926778555</c:v>
                </c:pt>
                <c:pt idx="31">
                  <c:v>2196188.7810314894</c:v>
                </c:pt>
                <c:pt idx="32">
                  <c:v>2232432.5820710659</c:v>
                </c:pt>
                <c:pt idx="33">
                  <c:v>2268400.0957963467</c:v>
                </c:pt>
                <c:pt idx="34">
                  <c:v>2304091.3222073317</c:v>
                </c:pt>
                <c:pt idx="35">
                  <c:v>2339506.2613042593</c:v>
                </c:pt>
                <c:pt idx="36">
                  <c:v>2374644.9130871296</c:v>
                </c:pt>
                <c:pt idx="37">
                  <c:v>2409507.2775554657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B60-4774-A26E-2BAE38C099FF}"/>
            </c:ext>
          </c:extLst>
        </c:ser>
        <c:ser>
          <c:idx val="2"/>
          <c:order val="2"/>
          <c:tx>
            <c:strRef>
              <c:f>'Mitigacion VE@60% (al 2050)'!$E$48</c:f>
              <c:strCache>
                <c:ptCount val="1"/>
                <c:pt idx="0">
                  <c:v>Acumulado de autos nuevos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'Mitigacion VE@60% (al 2050)'!$B$49:$B$86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VE@60% (al 2050)'!$E$49:$E$86</c:f>
              <c:numCache>
                <c:formatCode>#,##0</c:formatCode>
                <c:ptCount val="38"/>
                <c:pt idx="5">
                  <c:v>51642.285714285448</c:v>
                </c:pt>
                <c:pt idx="6">
                  <c:v>107573.71428571269</c:v>
                </c:pt>
                <c:pt idx="7">
                  <c:v>167794.28571428359</c:v>
                </c:pt>
                <c:pt idx="8">
                  <c:v>232303.99999999814</c:v>
                </c:pt>
                <c:pt idx="9">
                  <c:v>301102.85714285448</c:v>
                </c:pt>
                <c:pt idx="10">
                  <c:v>374190.85714285448</c:v>
                </c:pt>
                <c:pt idx="11">
                  <c:v>451567.99999999627</c:v>
                </c:pt>
                <c:pt idx="12">
                  <c:v>533234.28571428172</c:v>
                </c:pt>
                <c:pt idx="13">
                  <c:v>619189.71428570896</c:v>
                </c:pt>
                <c:pt idx="14">
                  <c:v>709434.28571427986</c:v>
                </c:pt>
                <c:pt idx="15">
                  <c:v>803967.99999999441</c:v>
                </c:pt>
                <c:pt idx="16">
                  <c:v>902790.85714285076</c:v>
                </c:pt>
                <c:pt idx="17">
                  <c:v>1005902.8571428508</c:v>
                </c:pt>
                <c:pt idx="18">
                  <c:v>1113303.9999999928</c:v>
                </c:pt>
                <c:pt idx="19">
                  <c:v>1224994.2857142782</c:v>
                </c:pt>
                <c:pt idx="20">
                  <c:v>1340973.7142857055</c:v>
                </c:pt>
                <c:pt idx="21">
                  <c:v>1461242.2857142764</c:v>
                </c:pt>
                <c:pt idx="22">
                  <c:v>1585799.9999999909</c:v>
                </c:pt>
                <c:pt idx="23">
                  <c:v>1714646.8571428473</c:v>
                </c:pt>
                <c:pt idx="24">
                  <c:v>1847782.8571428473</c:v>
                </c:pt>
                <c:pt idx="25">
                  <c:v>1972923.9411973953</c:v>
                </c:pt>
                <c:pt idx="26">
                  <c:v>2010825.466121912</c:v>
                </c:pt>
                <c:pt idx="27">
                  <c:v>2048450.7037320137</c:v>
                </c:pt>
                <c:pt idx="28">
                  <c:v>2085799.6540281773</c:v>
                </c:pt>
                <c:pt idx="29">
                  <c:v>2122872.3170102835</c:v>
                </c:pt>
                <c:pt idx="30">
                  <c:v>2159668.6926778555</c:v>
                </c:pt>
                <c:pt idx="31">
                  <c:v>2196188.7810314894</c:v>
                </c:pt>
                <c:pt idx="32">
                  <c:v>2232432.5820710659</c:v>
                </c:pt>
                <c:pt idx="33">
                  <c:v>2268400.0957963467</c:v>
                </c:pt>
                <c:pt idx="34">
                  <c:v>2304091.3222073317</c:v>
                </c:pt>
                <c:pt idx="35">
                  <c:v>2339506.2613042593</c:v>
                </c:pt>
                <c:pt idx="36">
                  <c:v>2374644.9130871296</c:v>
                </c:pt>
                <c:pt idx="37">
                  <c:v>2409507.2775554657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B60-4774-A26E-2BAE38C09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9823216"/>
        <c:axId val="939824856"/>
      </c:scatterChart>
      <c:scatterChart>
        <c:scatterStyle val="lineMarker"/>
        <c:varyColors val="0"/>
        <c:ser>
          <c:idx val="1"/>
          <c:order val="1"/>
          <c:tx>
            <c:strRef>
              <c:f>'Mitigacion VE@60% (al 2050)'!$D$48</c:f>
              <c:strCache>
                <c:ptCount val="1"/>
                <c:pt idx="0">
                  <c:v>Número de autos nuevos
[2]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'Mitigacion VE@60% (al 2050)'!$B$49:$B$86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'Mitigacion VE@60% (al 2050)'!$D$49:$D$86</c:f>
              <c:numCache>
                <c:formatCode>#,##0.0</c:formatCode>
                <c:ptCount val="38"/>
                <c:pt idx="0">
                  <c:v>28898</c:v>
                </c:pt>
                <c:pt idx="1">
                  <c:v>28300</c:v>
                </c:pt>
                <c:pt idx="2">
                  <c:v>37202</c:v>
                </c:pt>
                <c:pt idx="3">
                  <c:v>48314</c:v>
                </c:pt>
                <c:pt idx="4">
                  <c:v>47353.142857141793</c:v>
                </c:pt>
                <c:pt idx="5">
                  <c:v>51642.285714285448</c:v>
                </c:pt>
                <c:pt idx="6">
                  <c:v>55931.428571427241</c:v>
                </c:pt>
                <c:pt idx="7">
                  <c:v>60220.571428570896</c:v>
                </c:pt>
                <c:pt idx="8">
                  <c:v>64509.714285714552</c:v>
                </c:pt>
                <c:pt idx="9">
                  <c:v>68798.857142856345</c:v>
                </c:pt>
                <c:pt idx="10">
                  <c:v>73088</c:v>
                </c:pt>
                <c:pt idx="11">
                  <c:v>77377.142857141793</c:v>
                </c:pt>
                <c:pt idx="12">
                  <c:v>81666.285714285448</c:v>
                </c:pt>
                <c:pt idx="13">
                  <c:v>85955.428571427241</c:v>
                </c:pt>
                <c:pt idx="14">
                  <c:v>90244.571428570896</c:v>
                </c:pt>
                <c:pt idx="15">
                  <c:v>94533.714285714552</c:v>
                </c:pt>
                <c:pt idx="16">
                  <c:v>98822.857142856345</c:v>
                </c:pt>
                <c:pt idx="17">
                  <c:v>103112</c:v>
                </c:pt>
                <c:pt idx="18">
                  <c:v>107401.14285714203</c:v>
                </c:pt>
                <c:pt idx="19">
                  <c:v>111690.28571428545</c:v>
                </c:pt>
                <c:pt idx="20">
                  <c:v>115979.42857142724</c:v>
                </c:pt>
                <c:pt idx="21">
                  <c:v>120268.5714285709</c:v>
                </c:pt>
                <c:pt idx="22">
                  <c:v>124557.71428571455</c:v>
                </c:pt>
                <c:pt idx="23">
                  <c:v>128846.85714285634</c:v>
                </c:pt>
                <c:pt idx="24">
                  <c:v>133136</c:v>
                </c:pt>
                <c:pt idx="25">
                  <c:v>125141.08405454806</c:v>
                </c:pt>
                <c:pt idx="26">
                  <c:v>37901.524924516678</c:v>
                </c:pt>
                <c:pt idx="27">
                  <c:v>37625.2376101017</c:v>
                </c:pt>
                <c:pt idx="28">
                  <c:v>37348.950296163559</c:v>
                </c:pt>
                <c:pt idx="29">
                  <c:v>37072.662982106209</c:v>
                </c:pt>
                <c:pt idx="30">
                  <c:v>36796.375667572021</c:v>
                </c:pt>
                <c:pt idx="31">
                  <c:v>36520.088353633881</c:v>
                </c:pt>
                <c:pt idx="32">
                  <c:v>36243.80103957653</c:v>
                </c:pt>
                <c:pt idx="33">
                  <c:v>35967.513725280762</c:v>
                </c:pt>
                <c:pt idx="34">
                  <c:v>35691.226410984993</c:v>
                </c:pt>
                <c:pt idx="35">
                  <c:v>35414.939096927643</c:v>
                </c:pt>
                <c:pt idx="36">
                  <c:v>35138.651782870293</c:v>
                </c:pt>
                <c:pt idx="37">
                  <c:v>34862.364468336105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B60-4774-A26E-2BAE38C09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9823216"/>
        <c:axId val="939824856"/>
      </c:scatterChart>
      <c:valAx>
        <c:axId val="939823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39824856"/>
        <c:crosses val="autoZero"/>
        <c:crossBetween val="midCat"/>
      </c:valAx>
      <c:valAx>
        <c:axId val="939824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39823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1.2313198522928436E-2"/>
                  <c:y val="0.25554687276379212"/>
                </c:manualLayout>
              </c:layout>
              <c:numFmt formatCode="0.000000E+00" sourceLinked="0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'Mitigacion VE@60% (al 2050)'!$B$135:$B$151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xVal>
          <c:yVal>
            <c:numRef>
              <c:f>'Mitigacion VE@60% (al 2050)'!$C$135:$C$151</c:f>
              <c:numCache>
                <c:formatCode>#,##0</c:formatCode>
                <c:ptCount val="17"/>
                <c:pt idx="0">
                  <c:v>976651.16433813574</c:v>
                </c:pt>
                <c:pt idx="1">
                  <c:v>1019571.4085290028</c:v>
                </c:pt>
                <c:pt idx="2">
                  <c:v>1117970.6924468274</c:v>
                </c:pt>
                <c:pt idx="3">
                  <c:v>1053030.9082251894</c:v>
                </c:pt>
                <c:pt idx="4">
                  <c:v>1166385.7116395417</c:v>
                </c:pt>
                <c:pt idx="5">
                  <c:v>1206991.5861911501</c:v>
                </c:pt>
                <c:pt idx="6">
                  <c:v>1247784.1313553418</c:v>
                </c:pt>
                <c:pt idx="7">
                  <c:v>1288748.2711188961</c:v>
                </c:pt>
                <c:pt idx="8">
                  <c:v>1329857.3224403893</c:v>
                </c:pt>
                <c:pt idx="9">
                  <c:v>1371090.8945916586</c:v>
                </c:pt>
                <c:pt idx="10">
                  <c:v>1412434.5035978679</c:v>
                </c:pt>
                <c:pt idx="11">
                  <c:v>1453842.0175012546</c:v>
                </c:pt>
                <c:pt idx="12">
                  <c:v>1495296.6218874408</c:v>
                </c:pt>
                <c:pt idx="13">
                  <c:v>1536770.45903657</c:v>
                </c:pt>
                <c:pt idx="14">
                  <c:v>1578233.9588539612</c:v>
                </c:pt>
                <c:pt idx="15">
                  <c:v>1619667.6062884759</c:v>
                </c:pt>
                <c:pt idx="16">
                  <c:v>1661026.0804002865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B5-4D47-A984-DAEC52C1B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4508744"/>
        <c:axId val="834503824"/>
      </c:scatterChart>
      <c:valAx>
        <c:axId val="834508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4503824"/>
        <c:crosses val="autoZero"/>
        <c:crossBetween val="midCat"/>
      </c:valAx>
      <c:valAx>
        <c:axId val="83450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strRef>
              <c:f>'Mitigacion VE@60% (al 2050)'!$C$133</c:f>
              <c:strCache>
                <c:ptCount val="1"/>
                <c:pt idx="0">
                  <c:v>Autos en circulación en Chihuahua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4508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'Mitigacion NOM163'!$C$73</c:f>
              <c:strCache>
                <c:ptCount val="1"/>
                <c:pt idx="0">
                  <c:v>Autos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NOM163'!$C$74:$C$91</c:f>
              <c:numCache>
                <c:formatCode>#,##0</c:formatCode>
                <c:ptCount val="1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1166385.7116395417</c:v>
                </c:pt>
                <c:pt idx="6">
                  <c:v>1206991.5861911501</c:v>
                </c:pt>
                <c:pt idx="7">
                  <c:v>1247784.1313553418</c:v>
                </c:pt>
                <c:pt idx="8">
                  <c:v>1288748.2711188961</c:v>
                </c:pt>
                <c:pt idx="9">
                  <c:v>1329857.3224403893</c:v>
                </c:pt>
                <c:pt idx="10">
                  <c:v>1371090.8945916586</c:v>
                </c:pt>
                <c:pt idx="11">
                  <c:v>1412434.5035978679</c:v>
                </c:pt>
                <c:pt idx="12">
                  <c:v>1453842.0175012546</c:v>
                </c:pt>
                <c:pt idx="13">
                  <c:v>1495296.6218874408</c:v>
                </c:pt>
                <c:pt idx="14">
                  <c:v>1536770.45903657</c:v>
                </c:pt>
                <c:pt idx="15">
                  <c:v>1578233.9588539612</c:v>
                </c:pt>
                <c:pt idx="16">
                  <c:v>1619667.6062884759</c:v>
                </c:pt>
                <c:pt idx="17">
                  <c:v>1661026.0804002865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1F3-442E-AA6A-B016B1E9648E}"/>
            </c:ext>
          </c:extLst>
        </c:ser>
        <c:ser>
          <c:idx val="1"/>
          <c:order val="1"/>
          <c:tx>
            <c:strRef>
              <c:f>'Mitigacion NOM163'!$D$73</c:f>
              <c:strCache>
                <c:ptCount val="1"/>
                <c:pt idx="0">
                  <c:v>Autos posteriores a NOM163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NOM163'!$D$73:$D$90</c:f>
              <c:numCache>
                <c:formatCode>#,##0</c:formatCode>
                <c:ptCount val="18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51642.285714285448</c:v>
                </c:pt>
                <c:pt idx="7">
                  <c:v>107573.71428571269</c:v>
                </c:pt>
                <c:pt idx="8">
                  <c:v>167794.28571428359</c:v>
                </c:pt>
                <c:pt idx="9">
                  <c:v>232303.99999999814</c:v>
                </c:pt>
                <c:pt idx="10">
                  <c:v>301102.85714285448</c:v>
                </c:pt>
                <c:pt idx="11">
                  <c:v>374190.85714285448</c:v>
                </c:pt>
                <c:pt idx="12">
                  <c:v>451567.99999999627</c:v>
                </c:pt>
                <c:pt idx="13">
                  <c:v>533234.28571428172</c:v>
                </c:pt>
                <c:pt idx="14">
                  <c:v>619189.71428570896</c:v>
                </c:pt>
                <c:pt idx="15">
                  <c:v>709434.28571427986</c:v>
                </c:pt>
                <c:pt idx="16">
                  <c:v>803967.99999999441</c:v>
                </c:pt>
                <c:pt idx="17">
                  <c:v>902790.85714285076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1F3-442E-AA6A-B016B1E9648E}"/>
            </c:ext>
          </c:extLst>
        </c:ser>
        <c:ser>
          <c:idx val="2"/>
          <c:order val="2"/>
          <c:tx>
            <c:strRef>
              <c:f>'Mitigacion NOM163'!$E$73</c:f>
              <c:strCache>
                <c:ptCount val="1"/>
                <c:pt idx="0">
                  <c:v>Autos anteriores a NOM163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NOM163'!$E$74:$E$91</c:f>
              <c:numCache>
                <c:formatCode>#,##0</c:formatCode>
                <c:ptCount val="1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1114743.4259252562</c:v>
                </c:pt>
                <c:pt idx="6">
                  <c:v>1099417.8719054374</c:v>
                </c:pt>
                <c:pt idx="7">
                  <c:v>1079989.8456410582</c:v>
                </c:pt>
                <c:pt idx="8">
                  <c:v>1056444.2711188979</c:v>
                </c:pt>
                <c:pt idx="9">
                  <c:v>1028754.4652975348</c:v>
                </c:pt>
                <c:pt idx="10">
                  <c:v>996900.03744880413</c:v>
                </c:pt>
                <c:pt idx="11">
                  <c:v>960866.50359787163</c:v>
                </c:pt>
                <c:pt idx="12">
                  <c:v>920607.73178697284</c:v>
                </c:pt>
                <c:pt idx="13">
                  <c:v>876106.90760173183</c:v>
                </c:pt>
                <c:pt idx="14">
                  <c:v>827336.17332229018</c:v>
                </c:pt>
                <c:pt idx="15">
                  <c:v>774265.95885396679</c:v>
                </c:pt>
                <c:pt idx="16">
                  <c:v>716876.74914562516</c:v>
                </c:pt>
                <c:pt idx="17">
                  <c:v>655123.22325743572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1F3-442E-AA6A-B016B1E96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7159584"/>
        <c:axId val="837162536"/>
      </c:scatterChart>
      <c:valAx>
        <c:axId val="837159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62536"/>
        <c:crosses val="autoZero"/>
        <c:crossBetween val="midCat"/>
      </c:valAx>
      <c:valAx>
        <c:axId val="8371625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59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3"/>
          <c:order val="0"/>
          <c:tx>
            <c:strRef>
              <c:f>'Mitigacion NOM163'!$F$73</c:f>
              <c:strCache>
                <c:ptCount val="1"/>
                <c:pt idx="0">
                  <c:v>Emisiones de autos Inventario Chihuahua
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NOM163'!$F$74:$F$91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4409.1759291458902</c:v>
                </c:pt>
                <c:pt idx="2">
                  <c:v>4697.8044143992256</c:v>
                </c:pt>
                <c:pt idx="3">
                  <c:v>4861.015568828896</c:v>
                </c:pt>
                <c:pt idx="4">
                  <c:v>4774.6817019902828</c:v>
                </c:pt>
                <c:pt idx="5">
                  <c:v>4784.7519434793039</c:v>
                </c:pt>
                <c:pt idx="6">
                  <c:v>4809.2963508437269</c:v>
                </c:pt>
                <c:pt idx="7">
                  <c:v>4845.536453345142</c:v>
                </c:pt>
                <c:pt idx="8">
                  <c:v>4893.1151305214926</c:v>
                </c:pt>
                <c:pt idx="9">
                  <c:v>4952.0423023853336</c:v>
                </c:pt>
                <c:pt idx="10">
                  <c:v>5022.1493287186813</c:v>
                </c:pt>
                <c:pt idx="11">
                  <c:v>5103.1187691104178</c:v>
                </c:pt>
                <c:pt idx="12">
                  <c:v>5195.5160642926385</c:v>
                </c:pt>
                <c:pt idx="13">
                  <c:v>5299.0832939312513</c:v>
                </c:pt>
                <c:pt idx="14">
                  <c:v>5413.8700580907316</c:v>
                </c:pt>
                <c:pt idx="15">
                  <c:v>5539.9656368863471</c:v>
                </c:pt>
                <c:pt idx="16">
                  <c:v>5677.2013900999818</c:v>
                </c:pt>
                <c:pt idx="17">
                  <c:v>5826.0534783480334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B6A-4B1F-950B-31AC45B3F018}"/>
            </c:ext>
          </c:extLst>
        </c:ser>
        <c:ser>
          <c:idx val="4"/>
          <c:order val="1"/>
          <c:tx>
            <c:strRef>
              <c:f>'Mitigacion NOM163'!$G$73</c:f>
              <c:strCache>
                <c:ptCount val="1"/>
                <c:pt idx="0">
                  <c:v>Emisiones de autos posteriores a 2018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NOM163'!$G$74:$G$91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191.45023229462763</c:v>
                </c:pt>
                <c:pt idx="6">
                  <c:v>385.440580262585</c:v>
                </c:pt>
                <c:pt idx="7">
                  <c:v>581.05574480432074</c:v>
                </c:pt>
                <c:pt idx="8">
                  <c:v>776.63719799842625</c:v>
                </c:pt>
                <c:pt idx="9">
                  <c:v>971.26460547889349</c:v>
                </c:pt>
                <c:pt idx="10">
                  <c:v>1164.6516410541603</c:v>
                </c:pt>
                <c:pt idx="11">
                  <c:v>1356.6377834940292</c:v>
                </c:pt>
                <c:pt idx="12">
                  <c:v>1547.2251831248084</c:v>
                </c:pt>
                <c:pt idx="13">
                  <c:v>1745.3730051388991</c:v>
                </c:pt>
                <c:pt idx="14">
                  <c:v>1951.5626390400782</c:v>
                </c:pt>
                <c:pt idx="15">
                  <c:v>2166.4286772354144</c:v>
                </c:pt>
                <c:pt idx="16">
                  <c:v>2390.7641287217798</c:v>
                </c:pt>
                <c:pt idx="17">
                  <c:v>2625.6192677582021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B6A-4B1F-950B-31AC45B3F018}"/>
            </c:ext>
          </c:extLst>
        </c:ser>
        <c:ser>
          <c:idx val="5"/>
          <c:order val="2"/>
          <c:tx>
            <c:strRef>
              <c:f>'Mitigacion NOM163'!$H$73</c:f>
              <c:strCache>
                <c:ptCount val="1"/>
                <c:pt idx="0">
                  <c:v>Emisiones de autos anteriores a 2018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NOM163'!$H$74:$H$91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4572.9047607923612</c:v>
                </c:pt>
                <c:pt idx="6">
                  <c:v>4374.8827982689982</c:v>
                </c:pt>
                <c:pt idx="7">
                  <c:v>4178.1480588033037</c:v>
                </c:pt>
                <c:pt idx="8">
                  <c:v>3982.5406391933921</c:v>
                </c:pt>
                <c:pt idx="9">
                  <c:v>3788.1330883649971</c:v>
                </c:pt>
                <c:pt idx="10">
                  <c:v>3594.6941276091529</c:v>
                </c:pt>
                <c:pt idx="11">
                  <c:v>3401.7275357727162</c:v>
                </c:pt>
                <c:pt idx="12">
                  <c:v>3209.4200578255795</c:v>
                </c:pt>
                <c:pt idx="13">
                  <c:v>3016.9885445153573</c:v>
                </c:pt>
                <c:pt idx="14">
                  <c:v>2823.7634828396313</c:v>
                </c:pt>
                <c:pt idx="15">
                  <c:v>2628.8861810769477</c:v>
                </c:pt>
                <c:pt idx="16">
                  <c:v>2431.0033800523147</c:v>
                </c:pt>
                <c:pt idx="17">
                  <c:v>2229.0223114014152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B6A-4B1F-950B-31AC45B3F018}"/>
            </c:ext>
          </c:extLst>
        </c:ser>
        <c:ser>
          <c:idx val="6"/>
          <c:order val="3"/>
          <c:tx>
            <c:strRef>
              <c:f>'Mitigacion NOM163'!$I$73</c:f>
              <c:strCache>
                <c:ptCount val="1"/>
                <c:pt idx="0">
                  <c:v>Emisiones de autos anteriores y posteriores a 2018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NOM163'!$I$74:$I$91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4764.3549930869885</c:v>
                </c:pt>
                <c:pt idx="6">
                  <c:v>4760.3233785315833</c:v>
                </c:pt>
                <c:pt idx="7">
                  <c:v>4759.2038036076246</c:v>
                </c:pt>
                <c:pt idx="8">
                  <c:v>4759.1778371918181</c:v>
                </c:pt>
                <c:pt idx="9">
                  <c:v>4759.3976938438909</c:v>
                </c:pt>
                <c:pt idx="10">
                  <c:v>4759.3457686633137</c:v>
                </c:pt>
                <c:pt idx="11">
                  <c:v>4758.3653192667452</c:v>
                </c:pt>
                <c:pt idx="12">
                  <c:v>4756.6452409503881</c:v>
                </c:pt>
                <c:pt idx="13">
                  <c:v>4762.3615496542561</c:v>
                </c:pt>
                <c:pt idx="14">
                  <c:v>4775.3261218797097</c:v>
                </c:pt>
                <c:pt idx="15">
                  <c:v>4795.314858312362</c:v>
                </c:pt>
                <c:pt idx="16">
                  <c:v>4821.7675087740945</c:v>
                </c:pt>
                <c:pt idx="17">
                  <c:v>4854.6415791596173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B6A-4B1F-950B-31AC45B3F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813968"/>
        <c:axId val="487815280"/>
      </c:scatterChart>
      <c:valAx>
        <c:axId val="487813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5280"/>
        <c:crosses val="autoZero"/>
        <c:crossBetween val="midCat"/>
      </c:valAx>
      <c:valAx>
        <c:axId val="4878152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'Mitigacion NOM163 VE@6%'!$C$73</c:f>
              <c:strCache>
                <c:ptCount val="1"/>
                <c:pt idx="0">
                  <c:v>Autos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VE@6%'!$B$74:$B$91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VE@6%'!$C$74:$C$91</c:f>
              <c:numCache>
                <c:formatCode>#,##0</c:formatCode>
                <c:ptCount val="1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1166385.7116395417</c:v>
                </c:pt>
                <c:pt idx="6">
                  <c:v>1206991.5861911501</c:v>
                </c:pt>
                <c:pt idx="7">
                  <c:v>1247784.1313553418</c:v>
                </c:pt>
                <c:pt idx="8">
                  <c:v>1288748.2711188961</c:v>
                </c:pt>
                <c:pt idx="9">
                  <c:v>1329857.3224403893</c:v>
                </c:pt>
                <c:pt idx="10">
                  <c:v>1371090.8945916586</c:v>
                </c:pt>
                <c:pt idx="11">
                  <c:v>1412434.5035978679</c:v>
                </c:pt>
                <c:pt idx="12">
                  <c:v>1453842.0175012546</c:v>
                </c:pt>
                <c:pt idx="13">
                  <c:v>1495296.6218874408</c:v>
                </c:pt>
                <c:pt idx="14">
                  <c:v>1536770.45903657</c:v>
                </c:pt>
                <c:pt idx="15">
                  <c:v>1578233.9588539612</c:v>
                </c:pt>
                <c:pt idx="16">
                  <c:v>1619667.6062884759</c:v>
                </c:pt>
                <c:pt idx="17">
                  <c:v>1661026.0804002865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152-486F-BEA4-D936931A4317}"/>
            </c:ext>
          </c:extLst>
        </c:ser>
        <c:ser>
          <c:idx val="1"/>
          <c:order val="1"/>
          <c:tx>
            <c:strRef>
              <c:f>'Mitigacion NOM163 VE@6%'!$D$73</c:f>
              <c:strCache>
                <c:ptCount val="1"/>
                <c:pt idx="0">
                  <c:v>Autos posteriores a NOM163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VE@6%'!$B$74:$B$91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VE@6%'!$D$73:$D$90</c:f>
              <c:numCache>
                <c:formatCode>#,##0</c:formatCode>
                <c:ptCount val="18"/>
                <c:pt idx="0" formatCode="General">
                  <c:v>0</c:v>
                </c:pt>
                <c:pt idx="6">
                  <c:v>51443.285714285448</c:v>
                </c:pt>
                <c:pt idx="7">
                  <c:v>107094.71428571269</c:v>
                </c:pt>
                <c:pt idx="8">
                  <c:v>166986.80987012773</c:v>
                </c:pt>
                <c:pt idx="9">
                  <c:v>230792.78181817994</c:v>
                </c:pt>
                <c:pt idx="10">
                  <c:v>298465.83948051685</c:v>
                </c:pt>
                <c:pt idx="11">
                  <c:v>369959.19220778957</c:v>
                </c:pt>
                <c:pt idx="12">
                  <c:v>445226.04935064568</c:v>
                </c:pt>
                <c:pt idx="13">
                  <c:v>524219.62025973632</c:v>
                </c:pt>
                <c:pt idx="14">
                  <c:v>606893.1142857091</c:v>
                </c:pt>
                <c:pt idx="15">
                  <c:v>693199.74077921512</c:v>
                </c:pt>
                <c:pt idx="16">
                  <c:v>783092.70909090363</c:v>
                </c:pt>
                <c:pt idx="17">
                  <c:v>876525.2285714224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152-486F-BEA4-D936931A4317}"/>
            </c:ext>
          </c:extLst>
        </c:ser>
        <c:ser>
          <c:idx val="2"/>
          <c:order val="2"/>
          <c:tx>
            <c:strRef>
              <c:f>'Mitigacion NOM163 VE@6%'!$E$73</c:f>
              <c:strCache>
                <c:ptCount val="1"/>
                <c:pt idx="0">
                  <c:v>Autos anteriores a NOM163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VE@6%'!$B$74:$B$91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VE@6%'!$E$74:$E$91</c:f>
              <c:numCache>
                <c:formatCode>#,##0</c:formatCode>
                <c:ptCount val="1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1114743.4259252562</c:v>
                </c:pt>
                <c:pt idx="6">
                  <c:v>1099417.8719054374</c:v>
                </c:pt>
                <c:pt idx="7">
                  <c:v>1079989.8456410582</c:v>
                </c:pt>
                <c:pt idx="8">
                  <c:v>1056444.2711188979</c:v>
                </c:pt>
                <c:pt idx="9">
                  <c:v>1028754.4652975348</c:v>
                </c:pt>
                <c:pt idx="10">
                  <c:v>996900.03744880413</c:v>
                </c:pt>
                <c:pt idx="11">
                  <c:v>960866.50359787163</c:v>
                </c:pt>
                <c:pt idx="12">
                  <c:v>920607.73178697284</c:v>
                </c:pt>
                <c:pt idx="13">
                  <c:v>876106.90760173183</c:v>
                </c:pt>
                <c:pt idx="14">
                  <c:v>827336.17332229007</c:v>
                </c:pt>
                <c:pt idx="15">
                  <c:v>774265.95885396679</c:v>
                </c:pt>
                <c:pt idx="16">
                  <c:v>716876.74914562516</c:v>
                </c:pt>
                <c:pt idx="17">
                  <c:v>655123.2232574356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152-486F-BEA4-D936931A4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7159584"/>
        <c:axId val="837162536"/>
      </c:scatterChart>
      <c:valAx>
        <c:axId val="837159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62536"/>
        <c:crosses val="autoZero"/>
        <c:crossBetween val="midCat"/>
      </c:valAx>
      <c:valAx>
        <c:axId val="837162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59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3"/>
          <c:order val="0"/>
          <c:tx>
            <c:strRef>
              <c:f>'Mitigacion NOM163 VE@6%'!$F$73</c:f>
              <c:strCache>
                <c:ptCount val="1"/>
                <c:pt idx="0">
                  <c:v>Emisiones de autos Inventario Chihuahua
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VE@6%'!$B$74:$B$91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VE@6%'!$F$74:$F$91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4409.1759291458902</c:v>
                </c:pt>
                <c:pt idx="2">
                  <c:v>4697.8044143992256</c:v>
                </c:pt>
                <c:pt idx="3">
                  <c:v>4861.015568828896</c:v>
                </c:pt>
                <c:pt idx="4">
                  <c:v>4774.6817019902828</c:v>
                </c:pt>
                <c:pt idx="5">
                  <c:v>4784.7519434793039</c:v>
                </c:pt>
                <c:pt idx="6">
                  <c:v>4809.2963508437269</c:v>
                </c:pt>
                <c:pt idx="7">
                  <c:v>4845.536453345142</c:v>
                </c:pt>
                <c:pt idx="8">
                  <c:v>4893.1151305214926</c:v>
                </c:pt>
                <c:pt idx="9">
                  <c:v>4952.0423023853336</c:v>
                </c:pt>
                <c:pt idx="10">
                  <c:v>5022.1493287186813</c:v>
                </c:pt>
                <c:pt idx="11">
                  <c:v>5103.1187691104178</c:v>
                </c:pt>
                <c:pt idx="12">
                  <c:v>5195.5160642926385</c:v>
                </c:pt>
                <c:pt idx="13">
                  <c:v>5299.0832939312513</c:v>
                </c:pt>
                <c:pt idx="14">
                  <c:v>5413.8700580907316</c:v>
                </c:pt>
                <c:pt idx="15">
                  <c:v>5539.9656368863471</c:v>
                </c:pt>
                <c:pt idx="16">
                  <c:v>5677.2013900999818</c:v>
                </c:pt>
                <c:pt idx="17">
                  <c:v>5826.0534783480334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FD2-4134-BBF4-A2FAD3327659}"/>
            </c:ext>
          </c:extLst>
        </c:ser>
        <c:ser>
          <c:idx val="4"/>
          <c:order val="1"/>
          <c:tx>
            <c:strRef>
              <c:f>'Mitigacion NOM163 VE@6%'!$G$73</c:f>
              <c:strCache>
                <c:ptCount val="1"/>
                <c:pt idx="0">
                  <c:v>Emisiones de autos posteriores a 2018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VE@6%'!$B$74:$B$91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VE@6%'!$G$74:$G$91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190.7124919777599</c:v>
                </c:pt>
                <c:pt idx="6">
                  <c:v>383.73169905376483</c:v>
                </c:pt>
                <c:pt idx="7">
                  <c:v>578.2798717889093</c:v>
                </c:pt>
                <c:pt idx="8">
                  <c:v>771.72770912998817</c:v>
                </c:pt>
                <c:pt idx="9">
                  <c:v>963.1703044880478</c:v>
                </c:pt>
                <c:pt idx="10">
                  <c:v>1152.3379865598542</c:v>
                </c:pt>
                <c:pt idx="11">
                  <c:v>1339.0881432968176</c:v>
                </c:pt>
                <c:pt idx="12">
                  <c:v>1523.4381371214986</c:v>
                </c:pt>
                <c:pt idx="13">
                  <c:v>1714.020315022324</c:v>
                </c:pt>
                <c:pt idx="14">
                  <c:v>1911.2125830805426</c:v>
                </c:pt>
                <c:pt idx="15">
                  <c:v>2115.5306521281077</c:v>
                </c:pt>
                <c:pt idx="16">
                  <c:v>2327.6296244424893</c:v>
                </c:pt>
                <c:pt idx="17">
                  <c:v>2548.3934551367265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FD2-4134-BBF4-A2FAD3327659}"/>
            </c:ext>
          </c:extLst>
        </c:ser>
        <c:ser>
          <c:idx val="5"/>
          <c:order val="2"/>
          <c:tx>
            <c:strRef>
              <c:f>'Mitigacion NOM163 VE@6%'!$H$73</c:f>
              <c:strCache>
                <c:ptCount val="1"/>
                <c:pt idx="0">
                  <c:v>Emisiones de autos anteriores a 2018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VE@6%'!$B$74:$B$91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VE@6%'!$H$74:$H$91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4572.9047607923612</c:v>
                </c:pt>
                <c:pt idx="6">
                  <c:v>4374.8827982689982</c:v>
                </c:pt>
                <c:pt idx="7">
                  <c:v>4178.1480588033037</c:v>
                </c:pt>
                <c:pt idx="8">
                  <c:v>3982.5406391933921</c:v>
                </c:pt>
                <c:pt idx="9">
                  <c:v>3788.1330883649971</c:v>
                </c:pt>
                <c:pt idx="10">
                  <c:v>3594.6941276091529</c:v>
                </c:pt>
                <c:pt idx="11">
                  <c:v>3401.7275357727162</c:v>
                </c:pt>
                <c:pt idx="12">
                  <c:v>3209.4200578255795</c:v>
                </c:pt>
                <c:pt idx="13">
                  <c:v>3016.9885445153573</c:v>
                </c:pt>
                <c:pt idx="14">
                  <c:v>2823.7634828396308</c:v>
                </c:pt>
                <c:pt idx="15">
                  <c:v>2628.8861810769477</c:v>
                </c:pt>
                <c:pt idx="16">
                  <c:v>2431.0033800523147</c:v>
                </c:pt>
                <c:pt idx="17">
                  <c:v>2229.0223114014148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FD2-4134-BBF4-A2FAD3327659}"/>
            </c:ext>
          </c:extLst>
        </c:ser>
        <c:ser>
          <c:idx val="6"/>
          <c:order val="3"/>
          <c:tx>
            <c:strRef>
              <c:f>'Mitigacion NOM163 VE@6%'!$I$73</c:f>
              <c:strCache>
                <c:ptCount val="1"/>
                <c:pt idx="0">
                  <c:v>Emisiones de autos anteriores y posteriores a 2018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VE@6%'!$B$74:$B$91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VE@6%'!$I$74:$I$91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4763.617252770121</c:v>
                </c:pt>
                <c:pt idx="6">
                  <c:v>4758.6144973227629</c:v>
                </c:pt>
                <c:pt idx="7">
                  <c:v>4756.4279305922128</c:v>
                </c:pt>
                <c:pt idx="8">
                  <c:v>4754.2683483233805</c:v>
                </c:pt>
                <c:pt idx="9">
                  <c:v>4751.3033928530449</c:v>
                </c:pt>
                <c:pt idx="10">
                  <c:v>4747.0321141690074</c:v>
                </c:pt>
                <c:pt idx="11">
                  <c:v>4740.8156790695339</c:v>
                </c:pt>
                <c:pt idx="12">
                  <c:v>4732.8581949470781</c:v>
                </c:pt>
                <c:pt idx="13">
                  <c:v>4731.008859537681</c:v>
                </c:pt>
                <c:pt idx="14">
                  <c:v>4734.9760659201729</c:v>
                </c:pt>
                <c:pt idx="15">
                  <c:v>4744.4168332050558</c:v>
                </c:pt>
                <c:pt idx="16">
                  <c:v>4758.6330044948045</c:v>
                </c:pt>
                <c:pt idx="17">
                  <c:v>4777.4157665381408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FD2-4134-BBF4-A2FAD3327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813968"/>
        <c:axId val="487815280"/>
      </c:scatterChart>
      <c:valAx>
        <c:axId val="487813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5280"/>
        <c:crosses val="autoZero"/>
        <c:crossBetween val="midCat"/>
      </c:valAx>
      <c:valAx>
        <c:axId val="4878152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'Mitigacion NOM163 VE@20%'!$C$73</c:f>
              <c:strCache>
                <c:ptCount val="1"/>
                <c:pt idx="0">
                  <c:v>Autos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VE@20%'!$C$74:$C$91</c:f>
              <c:numCache>
                <c:formatCode>#,##0</c:formatCode>
                <c:ptCount val="1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1166385.7116395417</c:v>
                </c:pt>
                <c:pt idx="6">
                  <c:v>1206991.5861911501</c:v>
                </c:pt>
                <c:pt idx="7">
                  <c:v>1247784.1313553418</c:v>
                </c:pt>
                <c:pt idx="8">
                  <c:v>1288748.2711188961</c:v>
                </c:pt>
                <c:pt idx="9">
                  <c:v>1329857.3224403893</c:v>
                </c:pt>
                <c:pt idx="10">
                  <c:v>1371090.8945916586</c:v>
                </c:pt>
                <c:pt idx="11">
                  <c:v>1412434.5035978679</c:v>
                </c:pt>
                <c:pt idx="12">
                  <c:v>1453842.0175012546</c:v>
                </c:pt>
                <c:pt idx="13">
                  <c:v>1495296.6218874408</c:v>
                </c:pt>
                <c:pt idx="14">
                  <c:v>1536770.45903657</c:v>
                </c:pt>
                <c:pt idx="15">
                  <c:v>1578233.9588539612</c:v>
                </c:pt>
                <c:pt idx="16">
                  <c:v>1619667.6062884759</c:v>
                </c:pt>
                <c:pt idx="17">
                  <c:v>1661026.0804002865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1C9-4D6A-BFFA-25191F73A8EC}"/>
            </c:ext>
          </c:extLst>
        </c:ser>
        <c:ser>
          <c:idx val="1"/>
          <c:order val="1"/>
          <c:tx>
            <c:strRef>
              <c:f>'Mitigacion NOM163 VE@20%'!$D$73</c:f>
              <c:strCache>
                <c:ptCount val="1"/>
                <c:pt idx="0">
                  <c:v>Autos posteriores a NOM163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VE@20%'!$D$73:$D$90</c:f>
              <c:numCache>
                <c:formatCode>#,##0</c:formatCode>
                <c:ptCount val="18"/>
                <c:pt idx="0" formatCode="General">
                  <c:v>0</c:v>
                </c:pt>
                <c:pt idx="6">
                  <c:v>51443.285714285448</c:v>
                </c:pt>
                <c:pt idx="7">
                  <c:v>107094.71428571269</c:v>
                </c:pt>
                <c:pt idx="8">
                  <c:v>166220.3662337641</c:v>
                </c:pt>
                <c:pt idx="9">
                  <c:v>228384.27272727084</c:v>
                </c:pt>
                <c:pt idx="10">
                  <c:v>293430.46493506228</c:v>
                </c:pt>
                <c:pt idx="11">
                  <c:v>361202.97402597137</c:v>
                </c:pt>
                <c:pt idx="12">
                  <c:v>431545.83116882754</c:v>
                </c:pt>
                <c:pt idx="13">
                  <c:v>504303.0675324637</c:v>
                </c:pt>
                <c:pt idx="14">
                  <c:v>579318.71428570931</c:v>
                </c:pt>
                <c:pt idx="15">
                  <c:v>656436.80259739712</c:v>
                </c:pt>
                <c:pt idx="16">
                  <c:v>735501.36363635841</c:v>
                </c:pt>
                <c:pt idx="17">
                  <c:v>816356.4285714227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1C9-4D6A-BFFA-25191F73A8EC}"/>
            </c:ext>
          </c:extLst>
        </c:ser>
        <c:ser>
          <c:idx val="2"/>
          <c:order val="2"/>
          <c:tx>
            <c:strRef>
              <c:f>'Mitigacion NOM163 VE@20%'!$E$73</c:f>
              <c:strCache>
                <c:ptCount val="1"/>
                <c:pt idx="0">
                  <c:v>Autos anteriores a NOM163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VE@20%'!$E$74:$E$91</c:f>
              <c:numCache>
                <c:formatCode>#,##0</c:formatCode>
                <c:ptCount val="1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1114743.4259252562</c:v>
                </c:pt>
                <c:pt idx="6">
                  <c:v>1099417.8719054374</c:v>
                </c:pt>
                <c:pt idx="7">
                  <c:v>1079989.8456410584</c:v>
                </c:pt>
                <c:pt idx="8">
                  <c:v>1056444.2711188979</c:v>
                </c:pt>
                <c:pt idx="9">
                  <c:v>1028754.4652975349</c:v>
                </c:pt>
                <c:pt idx="10">
                  <c:v>996900.03744880413</c:v>
                </c:pt>
                <c:pt idx="11">
                  <c:v>960866.50359787163</c:v>
                </c:pt>
                <c:pt idx="12">
                  <c:v>920607.73178697284</c:v>
                </c:pt>
                <c:pt idx="13">
                  <c:v>876106.90760173183</c:v>
                </c:pt>
                <c:pt idx="14">
                  <c:v>827336.17332229018</c:v>
                </c:pt>
                <c:pt idx="15">
                  <c:v>774265.95885396679</c:v>
                </c:pt>
                <c:pt idx="16">
                  <c:v>716876.74914562516</c:v>
                </c:pt>
                <c:pt idx="17">
                  <c:v>655123.22325743572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1C9-4D6A-BFFA-25191F73A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7159584"/>
        <c:axId val="837162536"/>
      </c:scatterChart>
      <c:valAx>
        <c:axId val="837159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62536"/>
        <c:crosses val="autoZero"/>
        <c:crossBetween val="midCat"/>
      </c:valAx>
      <c:valAx>
        <c:axId val="837162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59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3"/>
          <c:order val="0"/>
          <c:tx>
            <c:strRef>
              <c:f>'Mitigacion NOM163 VE@20%'!$F$73</c:f>
              <c:strCache>
                <c:ptCount val="1"/>
                <c:pt idx="0">
                  <c:v>Emisiones de autos Inventario Chihuahua
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VE@20%'!$F$74:$F$91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4409.1759291458902</c:v>
                </c:pt>
                <c:pt idx="2">
                  <c:v>4697.8044143992256</c:v>
                </c:pt>
                <c:pt idx="3">
                  <c:v>4861.015568828896</c:v>
                </c:pt>
                <c:pt idx="4">
                  <c:v>4774.6817019902828</c:v>
                </c:pt>
                <c:pt idx="5">
                  <c:v>4784.7519434793039</c:v>
                </c:pt>
                <c:pt idx="6">
                  <c:v>4809.2963508437269</c:v>
                </c:pt>
                <c:pt idx="7">
                  <c:v>4845.536453345142</c:v>
                </c:pt>
                <c:pt idx="8">
                  <c:v>4893.1151305214926</c:v>
                </c:pt>
                <c:pt idx="9">
                  <c:v>4952.0423023853336</c:v>
                </c:pt>
                <c:pt idx="10">
                  <c:v>5022.1493287186813</c:v>
                </c:pt>
                <c:pt idx="11">
                  <c:v>5103.1187691104178</c:v>
                </c:pt>
                <c:pt idx="12">
                  <c:v>5195.5160642926385</c:v>
                </c:pt>
                <c:pt idx="13">
                  <c:v>5299.0832939312513</c:v>
                </c:pt>
                <c:pt idx="14">
                  <c:v>5413.8700580907316</c:v>
                </c:pt>
                <c:pt idx="15">
                  <c:v>5539.9656368863471</c:v>
                </c:pt>
                <c:pt idx="16">
                  <c:v>5677.2013900999818</c:v>
                </c:pt>
                <c:pt idx="17">
                  <c:v>5826.0534783480334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DB4-4E30-B770-B0C0EF98A38D}"/>
            </c:ext>
          </c:extLst>
        </c:ser>
        <c:ser>
          <c:idx val="4"/>
          <c:order val="1"/>
          <c:tx>
            <c:strRef>
              <c:f>'Mitigacion NOM163 VE@20%'!$G$73</c:f>
              <c:strCache>
                <c:ptCount val="1"/>
                <c:pt idx="0">
                  <c:v>Emisiones de autos posteriores a 2018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VE@20%'!$G$74:$G$91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190.7124919777599</c:v>
                </c:pt>
                <c:pt idx="6">
                  <c:v>383.73169905376483</c:v>
                </c:pt>
                <c:pt idx="7">
                  <c:v>575.79022424019638</c:v>
                </c:pt>
                <c:pt idx="8">
                  <c:v>764.25962459087987</c:v>
                </c:pt>
                <c:pt idx="9">
                  <c:v>948.27099166332164</c:v>
                </c:pt>
                <c:pt idx="10">
                  <c:v>1127.5935155603872</c:v>
                </c:pt>
                <c:pt idx="11">
                  <c:v>1302.1263723239044</c:v>
                </c:pt>
                <c:pt idx="12">
                  <c:v>1471.9224192676895</c:v>
                </c:pt>
                <c:pt idx="13">
                  <c:v>1644.851427570896</c:v>
                </c:pt>
                <c:pt idx="14">
                  <c:v>1821.04984199554</c:v>
                </c:pt>
                <c:pt idx="15">
                  <c:v>2000.7559830316393</c:v>
                </c:pt>
                <c:pt idx="16">
                  <c:v>2184.3031706113925</c:v>
                </c:pt>
                <c:pt idx="17">
                  <c:v>2372.1872818405304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DB4-4E30-B770-B0C0EF98A38D}"/>
            </c:ext>
          </c:extLst>
        </c:ser>
        <c:ser>
          <c:idx val="5"/>
          <c:order val="2"/>
          <c:tx>
            <c:strRef>
              <c:f>'Mitigacion NOM163 VE@20%'!$H$73</c:f>
              <c:strCache>
                <c:ptCount val="1"/>
                <c:pt idx="0">
                  <c:v>Emisiones de autos anteriores a 2018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VE@20%'!$H$74:$H$91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4572.9047607923612</c:v>
                </c:pt>
                <c:pt idx="6">
                  <c:v>4374.8827982689982</c:v>
                </c:pt>
                <c:pt idx="7">
                  <c:v>4178.1480588033046</c:v>
                </c:pt>
                <c:pt idx="8">
                  <c:v>3982.5406391933921</c:v>
                </c:pt>
                <c:pt idx="9">
                  <c:v>3788.1330883649975</c:v>
                </c:pt>
                <c:pt idx="10">
                  <c:v>3594.6941276091529</c:v>
                </c:pt>
                <c:pt idx="11">
                  <c:v>3401.7275357727162</c:v>
                </c:pt>
                <c:pt idx="12">
                  <c:v>3209.4200578255795</c:v>
                </c:pt>
                <c:pt idx="13">
                  <c:v>3016.9885445153573</c:v>
                </c:pt>
                <c:pt idx="14">
                  <c:v>2823.7634828396313</c:v>
                </c:pt>
                <c:pt idx="15">
                  <c:v>2628.8861810769477</c:v>
                </c:pt>
                <c:pt idx="16">
                  <c:v>2431.0033800523147</c:v>
                </c:pt>
                <c:pt idx="17">
                  <c:v>2229.0223114014152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DB4-4E30-B770-B0C0EF98A38D}"/>
            </c:ext>
          </c:extLst>
        </c:ser>
        <c:ser>
          <c:idx val="6"/>
          <c:order val="3"/>
          <c:tx>
            <c:strRef>
              <c:f>'Mitigacion NOM163 VE@20%'!$I$73</c:f>
              <c:strCache>
                <c:ptCount val="1"/>
                <c:pt idx="0">
                  <c:v>Emisiones de autos anteriores y posteriores a 2018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'Mitigacion NOM163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NOM163 VE@20%'!$I$74:$I$91</c:f>
              <c:numCache>
                <c:formatCode>#,##0</c:formatCode>
                <c:ptCount val="18"/>
                <c:pt idx="0">
                  <c:v>4488.9048500498293</c:v>
                </c:pt>
                <c:pt idx="1">
                  <c:v>4409.1759291458893</c:v>
                </c:pt>
                <c:pt idx="2">
                  <c:v>4697.8044143992256</c:v>
                </c:pt>
                <c:pt idx="3">
                  <c:v>4861.0155688288969</c:v>
                </c:pt>
                <c:pt idx="4">
                  <c:v>4774.6817019902837</c:v>
                </c:pt>
                <c:pt idx="5">
                  <c:v>4763.617252770121</c:v>
                </c:pt>
                <c:pt idx="6">
                  <c:v>4758.6144973227629</c:v>
                </c:pt>
                <c:pt idx="7">
                  <c:v>4753.9382830435006</c:v>
                </c:pt>
                <c:pt idx="8">
                  <c:v>4746.8002637842719</c:v>
                </c:pt>
                <c:pt idx="9">
                  <c:v>4736.4040800283192</c:v>
                </c:pt>
                <c:pt idx="10">
                  <c:v>4722.2876431695404</c:v>
                </c:pt>
                <c:pt idx="11">
                  <c:v>4703.8539080966202</c:v>
                </c:pt>
                <c:pt idx="12">
                  <c:v>4681.3424770932688</c:v>
                </c:pt>
                <c:pt idx="13">
                  <c:v>4661.8399720862535</c:v>
                </c:pt>
                <c:pt idx="14">
                  <c:v>4644.8133248351714</c:v>
                </c:pt>
                <c:pt idx="15">
                  <c:v>4629.6421641085872</c:v>
                </c:pt>
                <c:pt idx="16">
                  <c:v>4615.3065506637067</c:v>
                </c:pt>
                <c:pt idx="17">
                  <c:v>4601.2095932419452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DB4-4E30-B770-B0C0EF98A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813968"/>
        <c:axId val="487815280"/>
      </c:scatterChart>
      <c:valAx>
        <c:axId val="487813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5280"/>
        <c:crosses val="autoZero"/>
        <c:crossBetween val="midCat"/>
      </c:valAx>
      <c:valAx>
        <c:axId val="4878152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1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'Mitigacion VE@20%'!$C$73</c:f>
              <c:strCache>
                <c:ptCount val="1"/>
                <c:pt idx="0">
                  <c:v>Autos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VE@20%'!$C$74:$C$91</c:f>
              <c:numCache>
                <c:formatCode>#,##0</c:formatCode>
                <c:ptCount val="1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1166385.7116395417</c:v>
                </c:pt>
                <c:pt idx="6">
                  <c:v>1206991.5861911501</c:v>
                </c:pt>
                <c:pt idx="7">
                  <c:v>1247784.1313553418</c:v>
                </c:pt>
                <c:pt idx="8">
                  <c:v>1288748.2711188961</c:v>
                </c:pt>
                <c:pt idx="9">
                  <c:v>1329857.3224403893</c:v>
                </c:pt>
                <c:pt idx="10">
                  <c:v>1371090.8945916586</c:v>
                </c:pt>
                <c:pt idx="11">
                  <c:v>1412434.5035978679</c:v>
                </c:pt>
                <c:pt idx="12">
                  <c:v>1453842.0175012546</c:v>
                </c:pt>
                <c:pt idx="13">
                  <c:v>1495296.6218874408</c:v>
                </c:pt>
                <c:pt idx="14">
                  <c:v>1536770.45903657</c:v>
                </c:pt>
                <c:pt idx="15">
                  <c:v>1578233.9588539612</c:v>
                </c:pt>
                <c:pt idx="16">
                  <c:v>1619667.6062884759</c:v>
                </c:pt>
                <c:pt idx="17">
                  <c:v>1661026.0804002865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C2E-4D35-AB1B-308756A84A32}"/>
            </c:ext>
          </c:extLst>
        </c:ser>
        <c:ser>
          <c:idx val="1"/>
          <c:order val="1"/>
          <c:tx>
            <c:strRef>
              <c:f>'Mitigacion VE@20%'!$D$73</c:f>
              <c:strCache>
                <c:ptCount val="1"/>
                <c:pt idx="0">
                  <c:v>Autos posteriores a NOM163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VE@20%'!$D$73:$D$90</c:f>
              <c:numCache>
                <c:formatCode>#,##0</c:formatCode>
                <c:ptCount val="18"/>
                <c:pt idx="0" formatCode="General">
                  <c:v>0</c:v>
                </c:pt>
                <c:pt idx="6">
                  <c:v>51443.285714285448</c:v>
                </c:pt>
                <c:pt idx="7">
                  <c:v>107094.71428571269</c:v>
                </c:pt>
                <c:pt idx="8">
                  <c:v>166220.3662337641</c:v>
                </c:pt>
                <c:pt idx="9">
                  <c:v>228384.27272727084</c:v>
                </c:pt>
                <c:pt idx="10">
                  <c:v>293430.46493506228</c:v>
                </c:pt>
                <c:pt idx="11">
                  <c:v>361202.97402597137</c:v>
                </c:pt>
                <c:pt idx="12">
                  <c:v>431545.83116882754</c:v>
                </c:pt>
                <c:pt idx="13">
                  <c:v>504303.0675324637</c:v>
                </c:pt>
                <c:pt idx="14">
                  <c:v>579318.71428570931</c:v>
                </c:pt>
                <c:pt idx="15">
                  <c:v>656436.80259739712</c:v>
                </c:pt>
                <c:pt idx="16">
                  <c:v>735501.36363635841</c:v>
                </c:pt>
                <c:pt idx="17">
                  <c:v>816356.4285714227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C2E-4D35-AB1B-308756A84A32}"/>
            </c:ext>
          </c:extLst>
        </c:ser>
        <c:ser>
          <c:idx val="2"/>
          <c:order val="2"/>
          <c:tx>
            <c:strRef>
              <c:f>'Mitigacion VE@20%'!$E$73</c:f>
              <c:strCache>
                <c:ptCount val="1"/>
                <c:pt idx="0">
                  <c:v>Autos anteriores a NOM163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'Mitigacion VE@20%'!$B$74:$B$91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'Mitigacion VE@20%'!$E$74:$E$91</c:f>
              <c:numCache>
                <c:formatCode>#,##0</c:formatCode>
                <c:ptCount val="18"/>
                <c:pt idx="0">
                  <c:v>1073183.6651212492</c:v>
                </c:pt>
                <c:pt idx="1">
                  <c:v>976651.16433813574</c:v>
                </c:pt>
                <c:pt idx="2">
                  <c:v>1019571.4085290028</c:v>
                </c:pt>
                <c:pt idx="3">
                  <c:v>1117970.6924468274</c:v>
                </c:pt>
                <c:pt idx="4">
                  <c:v>1053030.9082251894</c:v>
                </c:pt>
                <c:pt idx="5">
                  <c:v>1114743.4259252562</c:v>
                </c:pt>
                <c:pt idx="6">
                  <c:v>1099417.8719054374</c:v>
                </c:pt>
                <c:pt idx="7">
                  <c:v>1079989.8456410584</c:v>
                </c:pt>
                <c:pt idx="8">
                  <c:v>1056444.2711188979</c:v>
                </c:pt>
                <c:pt idx="9">
                  <c:v>1028754.4652975349</c:v>
                </c:pt>
                <c:pt idx="10">
                  <c:v>996900.03744880413</c:v>
                </c:pt>
                <c:pt idx="11">
                  <c:v>960866.50359787163</c:v>
                </c:pt>
                <c:pt idx="12">
                  <c:v>920607.73178697284</c:v>
                </c:pt>
                <c:pt idx="13">
                  <c:v>876106.90760173183</c:v>
                </c:pt>
                <c:pt idx="14">
                  <c:v>827336.17332229018</c:v>
                </c:pt>
                <c:pt idx="15">
                  <c:v>774265.95885396679</c:v>
                </c:pt>
                <c:pt idx="16">
                  <c:v>716876.74914562516</c:v>
                </c:pt>
                <c:pt idx="17">
                  <c:v>655123.22325743572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C2E-4D35-AB1B-308756A84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7159584"/>
        <c:axId val="837162536"/>
      </c:scatterChart>
      <c:valAx>
        <c:axId val="837159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62536"/>
        <c:crosses val="autoZero"/>
        <c:crossBetween val="midCat"/>
      </c:valAx>
      <c:valAx>
        <c:axId val="837162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7159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73</xdr:row>
      <xdr:rowOff>0</xdr:rowOff>
    </xdr:from>
    <xdr:to>
      <xdr:col>18</xdr:col>
      <xdr:colOff>370800</xdr:colOff>
      <xdr:row>87</xdr:row>
      <xdr:rowOff>72600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1C260E3D-4DCE-451B-9F28-1E52EAEBC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</xdr:colOff>
      <xdr:row>5</xdr:row>
      <xdr:rowOff>0</xdr:rowOff>
    </xdr:from>
    <xdr:to>
      <xdr:col>18</xdr:col>
      <xdr:colOff>1</xdr:colOff>
      <xdr:row>26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97746A78-DAD9-4A6C-A6D9-F0620F3AC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73</xdr:row>
      <xdr:rowOff>0</xdr:rowOff>
    </xdr:from>
    <xdr:to>
      <xdr:col>18</xdr:col>
      <xdr:colOff>370800</xdr:colOff>
      <xdr:row>87</xdr:row>
      <xdr:rowOff>72600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6B613B-474B-4E8F-8E19-F0BD6FFB8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</xdr:colOff>
      <xdr:row>5</xdr:row>
      <xdr:rowOff>0</xdr:rowOff>
    </xdr:from>
    <xdr:to>
      <xdr:col>18</xdr:col>
      <xdr:colOff>1</xdr:colOff>
      <xdr:row>26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2179916-6036-4841-B8F7-FE9290AE4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73</xdr:row>
      <xdr:rowOff>0</xdr:rowOff>
    </xdr:from>
    <xdr:to>
      <xdr:col>18</xdr:col>
      <xdr:colOff>370800</xdr:colOff>
      <xdr:row>87</xdr:row>
      <xdr:rowOff>72600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9FF0E3-EC88-4AC4-B05E-F6018CAB6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5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D788939-8B79-44DA-A8BD-A0614A084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73</xdr:row>
      <xdr:rowOff>0</xdr:rowOff>
    </xdr:from>
    <xdr:to>
      <xdr:col>18</xdr:col>
      <xdr:colOff>370800</xdr:colOff>
      <xdr:row>87</xdr:row>
      <xdr:rowOff>72600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39A4B8C-AB83-4732-9435-8BD01D6DF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5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4DF328A-E3E1-4D7A-AD0D-3320CEDF9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73</xdr:row>
      <xdr:rowOff>0</xdr:rowOff>
    </xdr:from>
    <xdr:to>
      <xdr:col>18</xdr:col>
      <xdr:colOff>370800</xdr:colOff>
      <xdr:row>87</xdr:row>
      <xdr:rowOff>72600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BB1B95-BA35-4CA5-98D4-569191BA8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5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69AD782-C673-472B-B881-A36FBB9D2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11907</xdr:colOff>
      <xdr:row>27</xdr:row>
      <xdr:rowOff>23812</xdr:rowOff>
    </xdr:from>
    <xdr:to>
      <xdr:col>26</xdr:col>
      <xdr:colOff>202406</xdr:colOff>
      <xdr:row>47</xdr:row>
      <xdr:rowOff>22912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916B15A-3073-4E7C-94B0-D37610EEA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</xdr:colOff>
      <xdr:row>133</xdr:row>
      <xdr:rowOff>0</xdr:rowOff>
    </xdr:from>
    <xdr:to>
      <xdr:col>27</xdr:col>
      <xdr:colOff>298424</xdr:colOff>
      <xdr:row>153</xdr:row>
      <xdr:rowOff>189600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A5F504-9EBE-4906-AD6D-F589778E7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1123950</xdr:colOff>
      <xdr:row>156</xdr:row>
      <xdr:rowOff>28575</xdr:rowOff>
    </xdr:from>
    <xdr:to>
      <xdr:col>18</xdr:col>
      <xdr:colOff>752475</xdr:colOff>
      <xdr:row>170</xdr:row>
      <xdr:rowOff>104775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4880E5E-B086-4241-9406-C8CCD680E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453838</xdr:colOff>
      <xdr:row>198</xdr:row>
      <xdr:rowOff>174811</xdr:rowOff>
    </xdr:from>
    <xdr:to>
      <xdr:col>9</xdr:col>
      <xdr:colOff>16808</xdr:colOff>
      <xdr:row>213</xdr:row>
      <xdr:rowOff>60511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0050D56-F524-4F64-AE5A-09C1C19998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109</xdr:row>
      <xdr:rowOff>0</xdr:rowOff>
    </xdr:from>
    <xdr:to>
      <xdr:col>27</xdr:col>
      <xdr:colOff>298425</xdr:colOff>
      <xdr:row>129</xdr:row>
      <xdr:rowOff>189600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D3E474BF-B599-4119-9246-7CEBC6EF3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755195</xdr:colOff>
      <xdr:row>47</xdr:row>
      <xdr:rowOff>13607</xdr:rowOff>
    </xdr:from>
    <xdr:to>
      <xdr:col>32</xdr:col>
      <xdr:colOff>517072</xdr:colOff>
      <xdr:row>70</xdr:row>
      <xdr:rowOff>85725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1EF105FA-7D1C-4DE3-922F-A9084B2086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1133474</xdr:colOff>
      <xdr:row>133</xdr:row>
      <xdr:rowOff>0</xdr:rowOff>
    </xdr:from>
    <xdr:to>
      <xdr:col>27</xdr:col>
      <xdr:colOff>298424</xdr:colOff>
      <xdr:row>153</xdr:row>
      <xdr:rowOff>189600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E1D5C0-4376-476E-9E7B-CA9C2DF1A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1123950</xdr:colOff>
      <xdr:row>156</xdr:row>
      <xdr:rowOff>28575</xdr:rowOff>
    </xdr:from>
    <xdr:to>
      <xdr:col>18</xdr:col>
      <xdr:colOff>752475</xdr:colOff>
      <xdr:row>170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7E3FEA9-E88D-4B67-8B4F-234A70BDD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1190</xdr:colOff>
      <xdr:row>58</xdr:row>
      <xdr:rowOff>4762</xdr:rowOff>
    </xdr:from>
    <xdr:to>
      <xdr:col>28</xdr:col>
      <xdr:colOff>342900</xdr:colOff>
      <xdr:row>72</xdr:row>
      <xdr:rowOff>80962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5F7FCE3-B3D7-48A2-8623-8E1F8D352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453838</xdr:colOff>
      <xdr:row>198</xdr:row>
      <xdr:rowOff>174811</xdr:rowOff>
    </xdr:from>
    <xdr:to>
      <xdr:col>9</xdr:col>
      <xdr:colOff>16808</xdr:colOff>
      <xdr:row>213</xdr:row>
      <xdr:rowOff>60511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88D0D1F-130B-46A4-905F-55EA709EC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761999</xdr:colOff>
      <xdr:row>74</xdr:row>
      <xdr:rowOff>0</xdr:rowOff>
    </xdr:from>
    <xdr:to>
      <xdr:col>28</xdr:col>
      <xdr:colOff>341999</xdr:colOff>
      <xdr:row>88</xdr:row>
      <xdr:rowOff>72600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D8B2704-B5CD-4A72-9D2A-163812307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109</xdr:row>
      <xdr:rowOff>0</xdr:rowOff>
    </xdr:from>
    <xdr:to>
      <xdr:col>27</xdr:col>
      <xdr:colOff>298425</xdr:colOff>
      <xdr:row>129</xdr:row>
      <xdr:rowOff>189600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D1FD104-3A8F-4844-8231-9C44439A2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</xdr:colOff>
      <xdr:row>133</xdr:row>
      <xdr:rowOff>0</xdr:rowOff>
    </xdr:from>
    <xdr:to>
      <xdr:col>27</xdr:col>
      <xdr:colOff>298424</xdr:colOff>
      <xdr:row>153</xdr:row>
      <xdr:rowOff>189600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D6E90D-8BD5-432D-A201-A77B4227D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453838</xdr:colOff>
      <xdr:row>198</xdr:row>
      <xdr:rowOff>174811</xdr:rowOff>
    </xdr:from>
    <xdr:to>
      <xdr:col>9</xdr:col>
      <xdr:colOff>16808</xdr:colOff>
      <xdr:row>213</xdr:row>
      <xdr:rowOff>60511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1EA3A25-6383-489D-BCA5-4DA19CE43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109</xdr:row>
      <xdr:rowOff>0</xdr:rowOff>
    </xdr:from>
    <xdr:to>
      <xdr:col>27</xdr:col>
      <xdr:colOff>298425</xdr:colOff>
      <xdr:row>129</xdr:row>
      <xdr:rowOff>189600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3658842-7828-4C05-AE11-CC9B635BB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755195</xdr:colOff>
      <xdr:row>47</xdr:row>
      <xdr:rowOff>13607</xdr:rowOff>
    </xdr:from>
    <xdr:to>
      <xdr:col>32</xdr:col>
      <xdr:colOff>517072</xdr:colOff>
      <xdr:row>70</xdr:row>
      <xdr:rowOff>85725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C4EF04A-CD75-42CA-8746-AA8F54546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10583</xdr:colOff>
      <xdr:row>157</xdr:row>
      <xdr:rowOff>116415</xdr:rowOff>
    </xdr:from>
    <xdr:to>
      <xdr:col>27</xdr:col>
      <xdr:colOff>708025</xdr:colOff>
      <xdr:row>174</xdr:row>
      <xdr:rowOff>95248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B51232F-8CB3-4496-9741-B606E0FC4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6046-C85C-4FAC-9E69-BE9B35D176E3}">
  <dimension ref="A2:O92"/>
  <sheetViews>
    <sheetView topLeftCell="A40" zoomScale="80" zoomScaleNormal="80" workbookViewId="0">
      <selection activeCell="G73" sqref="G73:I73"/>
    </sheetView>
  </sheetViews>
  <sheetFormatPr baseColWidth="10" defaultRowHeight="15" x14ac:dyDescent="0.25"/>
  <cols>
    <col min="2" max="4" width="18.140625" customWidth="1"/>
    <col min="5" max="5" width="20.5703125" customWidth="1"/>
    <col min="6" max="6" width="30.140625" customWidth="1"/>
    <col min="7" max="7" width="23.7109375" customWidth="1"/>
    <col min="8" max="8" width="23.28515625" customWidth="1"/>
    <col min="9" max="9" width="28" customWidth="1"/>
    <col min="10" max="10" width="23.7109375" customWidth="1"/>
    <col min="11" max="11" width="18.140625" customWidth="1"/>
    <col min="12" max="12" width="17" customWidth="1"/>
  </cols>
  <sheetData>
    <row r="2" spans="1:12" x14ac:dyDescent="0.25">
      <c r="D2">
        <v>1</v>
      </c>
    </row>
    <row r="3" spans="1:12" x14ac:dyDescent="0.25">
      <c r="I3" s="5"/>
      <c r="J3" s="13"/>
      <c r="K3" s="13"/>
      <c r="L3" s="14"/>
    </row>
    <row r="4" spans="1:12" x14ac:dyDescent="0.25">
      <c r="B4" s="32"/>
      <c r="C4" s="33"/>
      <c r="D4" s="33"/>
      <c r="E4" s="68" t="s">
        <v>10</v>
      </c>
      <c r="F4" s="68"/>
      <c r="G4" s="68"/>
      <c r="H4" s="68"/>
      <c r="I4" s="34"/>
      <c r="J4" s="13"/>
      <c r="K4" s="13"/>
      <c r="L4" s="14"/>
    </row>
    <row r="5" spans="1:12" ht="45" x14ac:dyDescent="0.25">
      <c r="B5" s="9" t="s">
        <v>0</v>
      </c>
      <c r="C5" s="9" t="s">
        <v>22</v>
      </c>
      <c r="D5" s="9" t="s">
        <v>26</v>
      </c>
      <c r="E5" s="16"/>
      <c r="F5" s="16" t="s">
        <v>5</v>
      </c>
      <c r="G5" s="16" t="s">
        <v>8</v>
      </c>
      <c r="H5" s="16" t="s">
        <v>9</v>
      </c>
      <c r="I5" s="9" t="s">
        <v>28</v>
      </c>
      <c r="J5" s="14"/>
      <c r="K5" s="15"/>
      <c r="L5" s="14"/>
    </row>
    <row r="6" spans="1:12" x14ac:dyDescent="0.25">
      <c r="B6" s="10">
        <v>2013</v>
      </c>
      <c r="C6" s="11">
        <v>1073183.6651212492</v>
      </c>
      <c r="D6" s="11">
        <f>D29*$D$2</f>
        <v>28898</v>
      </c>
      <c r="E6" s="17"/>
      <c r="F6" s="17"/>
      <c r="G6" s="18"/>
      <c r="H6" s="18"/>
      <c r="I6" s="10"/>
      <c r="J6" s="14"/>
      <c r="K6" s="6"/>
      <c r="L6" s="14"/>
    </row>
    <row r="7" spans="1:12" x14ac:dyDescent="0.25">
      <c r="B7" s="10">
        <v>2014</v>
      </c>
      <c r="C7" s="11">
        <v>976651.16433813574</v>
      </c>
      <c r="D7" s="11">
        <f t="shared" ref="D7:D23" si="0">D30*$D$2</f>
        <v>28300</v>
      </c>
      <c r="E7" s="17"/>
      <c r="F7" s="17"/>
      <c r="G7" s="18"/>
      <c r="H7" s="18"/>
      <c r="I7" s="10"/>
      <c r="J7" s="8"/>
      <c r="K7" s="6"/>
      <c r="L7" s="8"/>
    </row>
    <row r="8" spans="1:12" x14ac:dyDescent="0.25">
      <c r="B8" s="10">
        <v>2015</v>
      </c>
      <c r="C8" s="11">
        <v>1019571.4085290028</v>
      </c>
      <c r="D8" s="11">
        <f t="shared" si="0"/>
        <v>37202</v>
      </c>
      <c r="E8" s="17"/>
      <c r="F8" s="17"/>
      <c r="G8" s="18"/>
      <c r="H8" s="18"/>
      <c r="I8" s="10"/>
      <c r="J8" s="8"/>
      <c r="K8" s="6"/>
      <c r="L8" s="8"/>
    </row>
    <row r="9" spans="1:12" x14ac:dyDescent="0.25">
      <c r="B9" s="10">
        <v>2016</v>
      </c>
      <c r="C9" s="11">
        <v>1117970.6924468274</v>
      </c>
      <c r="D9" s="11">
        <f t="shared" si="0"/>
        <v>48314</v>
      </c>
      <c r="E9" s="17"/>
      <c r="F9" s="17"/>
      <c r="G9" s="18"/>
      <c r="H9" s="18"/>
      <c r="I9" s="10"/>
      <c r="J9" s="14"/>
      <c r="K9" s="6"/>
      <c r="L9" s="14"/>
    </row>
    <row r="10" spans="1:12" x14ac:dyDescent="0.25">
      <c r="B10" s="10">
        <v>2017</v>
      </c>
      <c r="C10" s="11">
        <v>1053030.9082251894</v>
      </c>
      <c r="D10" s="11">
        <f t="shared" si="0"/>
        <v>47353.142857141793</v>
      </c>
      <c r="E10" s="17"/>
      <c r="F10" s="17"/>
      <c r="G10" s="18"/>
      <c r="H10" s="18"/>
      <c r="I10" s="10"/>
      <c r="J10" s="14"/>
      <c r="K10" s="6"/>
      <c r="L10" s="14"/>
    </row>
    <row r="11" spans="1:12" x14ac:dyDescent="0.25">
      <c r="A11" s="3" t="s">
        <v>3</v>
      </c>
      <c r="B11" s="10">
        <v>2018</v>
      </c>
      <c r="C11" s="11">
        <v>1166385.7116395417</v>
      </c>
      <c r="D11" s="11">
        <f t="shared" si="0"/>
        <v>51642.285714285448</v>
      </c>
      <c r="E11" s="17"/>
      <c r="F11" s="17">
        <f>D11+F10</f>
        <v>51642.285714285448</v>
      </c>
      <c r="G11" s="17">
        <f t="shared" ref="G11:G23" si="1">D11*K57/I11</f>
        <v>211.84718268694195</v>
      </c>
      <c r="H11" s="17">
        <f>H10+G11</f>
        <v>211.84718268694195</v>
      </c>
      <c r="I11" s="12">
        <v>14.6</v>
      </c>
      <c r="J11" s="14"/>
      <c r="K11" s="6"/>
      <c r="L11" s="14"/>
    </row>
    <row r="12" spans="1:12" x14ac:dyDescent="0.25">
      <c r="B12" s="10">
        <v>2019</v>
      </c>
      <c r="C12" s="11">
        <v>1206991.5861911501</v>
      </c>
      <c r="D12" s="11">
        <f t="shared" si="0"/>
        <v>55931.428571427241</v>
      </c>
      <c r="E12" s="17"/>
      <c r="F12" s="17">
        <f>D12+F11</f>
        <v>107573.71428571269</v>
      </c>
      <c r="G12" s="17">
        <f t="shared" si="1"/>
        <v>222.5663698877861</v>
      </c>
      <c r="H12" s="17">
        <f t="shared" ref="H12:H23" si="2">H11+G12</f>
        <v>434.41355257472804</v>
      </c>
      <c r="I12" s="12">
        <v>14.6</v>
      </c>
      <c r="J12" s="14"/>
      <c r="K12" s="6"/>
      <c r="L12" s="14"/>
    </row>
    <row r="13" spans="1:12" x14ac:dyDescent="0.25">
      <c r="B13" s="10">
        <v>2020</v>
      </c>
      <c r="C13" s="11">
        <v>1247784.1313553418</v>
      </c>
      <c r="D13" s="11">
        <f t="shared" si="0"/>
        <v>60220.571428570896</v>
      </c>
      <c r="E13" s="17"/>
      <c r="F13" s="17">
        <f>D13+F12</f>
        <v>167794.28571428359</v>
      </c>
      <c r="G13" s="17">
        <f t="shared" si="1"/>
        <v>232.97484196711011</v>
      </c>
      <c r="H13" s="17">
        <f t="shared" si="2"/>
        <v>667.38839454183812</v>
      </c>
      <c r="I13" s="12">
        <v>14.6</v>
      </c>
      <c r="J13" s="14"/>
      <c r="K13" s="6"/>
      <c r="L13" s="14"/>
    </row>
    <row r="14" spans="1:12" x14ac:dyDescent="0.25">
      <c r="B14" s="10">
        <v>2021</v>
      </c>
      <c r="C14" s="11">
        <v>1288748.2711188961</v>
      </c>
      <c r="D14" s="11">
        <f t="shared" si="0"/>
        <v>64509.714285714552</v>
      </c>
      <c r="E14" s="17"/>
      <c r="F14" s="17">
        <f>D14+F13</f>
        <v>232303.99999999814</v>
      </c>
      <c r="G14" s="17">
        <f t="shared" si="1"/>
        <v>243.18609678626237</v>
      </c>
      <c r="H14" s="17">
        <f t="shared" si="2"/>
        <v>910.57449132810052</v>
      </c>
      <c r="I14" s="12">
        <v>14.6</v>
      </c>
      <c r="J14" s="14"/>
      <c r="K14" s="6"/>
      <c r="L14" s="14"/>
    </row>
    <row r="15" spans="1:12" x14ac:dyDescent="0.25">
      <c r="B15" s="10">
        <v>2022</v>
      </c>
      <c r="C15" s="11">
        <v>1329857.3224403893</v>
      </c>
      <c r="D15" s="11">
        <f t="shared" si="0"/>
        <v>68798.857142856345</v>
      </c>
      <c r="E15" s="17"/>
      <c r="F15" s="17">
        <f>D15+F14</f>
        <v>301102.85714285448</v>
      </c>
      <c r="G15" s="17">
        <f t="shared" si="1"/>
        <v>253.33472269223611</v>
      </c>
      <c r="H15" s="17">
        <f t="shared" si="2"/>
        <v>1163.9092140203365</v>
      </c>
      <c r="I15" s="12">
        <v>14.6</v>
      </c>
      <c r="J15" s="14"/>
      <c r="K15" s="6"/>
      <c r="L15" s="14"/>
    </row>
    <row r="16" spans="1:12" x14ac:dyDescent="0.25">
      <c r="B16" s="10">
        <v>2023</v>
      </c>
      <c r="C16" s="11">
        <v>1371090.8945916586</v>
      </c>
      <c r="D16" s="11">
        <f t="shared" si="0"/>
        <v>73088</v>
      </c>
      <c r="E16" s="17"/>
      <c r="F16" s="17">
        <f t="shared" ref="F16:F23" si="3">D16+F15</f>
        <v>374190.85714285448</v>
      </c>
      <c r="G16" s="17">
        <f t="shared" si="1"/>
        <v>263.54598708919218</v>
      </c>
      <c r="H16" s="17">
        <f t="shared" si="2"/>
        <v>1427.4552011095288</v>
      </c>
      <c r="I16" s="12">
        <v>14.6</v>
      </c>
      <c r="J16" s="14"/>
      <c r="K16" s="6"/>
      <c r="L16" s="14"/>
    </row>
    <row r="17" spans="2:12" x14ac:dyDescent="0.25">
      <c r="B17" s="10">
        <v>2024</v>
      </c>
      <c r="C17" s="11">
        <v>1412434.5035978679</v>
      </c>
      <c r="D17" s="11">
        <f t="shared" si="0"/>
        <v>77377.142857141793</v>
      </c>
      <c r="E17" s="17"/>
      <c r="F17" s="17">
        <f t="shared" si="3"/>
        <v>451567.99999999627</v>
      </c>
      <c r="G17" s="17">
        <f t="shared" si="1"/>
        <v>273.93603222817291</v>
      </c>
      <c r="H17" s="17">
        <f t="shared" si="2"/>
        <v>1701.3912333377018</v>
      </c>
      <c r="I17" s="12">
        <v>14.6</v>
      </c>
      <c r="J17" s="14"/>
      <c r="K17" s="6"/>
      <c r="L17" s="14"/>
    </row>
    <row r="18" spans="2:12" x14ac:dyDescent="0.25">
      <c r="B18" s="10">
        <v>2025</v>
      </c>
      <c r="C18" s="11">
        <v>1453842.0175012546</v>
      </c>
      <c r="D18" s="11">
        <f t="shared" si="0"/>
        <v>81666.285714285448</v>
      </c>
      <c r="E18" s="17"/>
      <c r="F18" s="17">
        <f t="shared" si="3"/>
        <v>533234.28571428172</v>
      </c>
      <c r="G18" s="17">
        <f t="shared" si="1"/>
        <v>284.70477312935725</v>
      </c>
      <c r="H18" s="17">
        <f t="shared" si="2"/>
        <v>1986.0960064670589</v>
      </c>
      <c r="I18" s="12">
        <v>14.6</v>
      </c>
      <c r="J18" s="14"/>
      <c r="K18" s="6"/>
      <c r="L18" s="14"/>
    </row>
    <row r="19" spans="2:12" x14ac:dyDescent="0.25">
      <c r="B19" s="10">
        <v>2026</v>
      </c>
      <c r="C19" s="11">
        <v>1495296.6218874408</v>
      </c>
      <c r="D19" s="11">
        <f t="shared" si="0"/>
        <v>85955.428571427241</v>
      </c>
      <c r="E19" s="17"/>
      <c r="F19" s="17">
        <f t="shared" si="3"/>
        <v>619189.71428570896</v>
      </c>
      <c r="G19" s="17">
        <f t="shared" si="1"/>
        <v>295.99874294883523</v>
      </c>
      <c r="H19" s="17">
        <f t="shared" si="2"/>
        <v>2282.0947494158941</v>
      </c>
      <c r="I19" s="12">
        <v>14.6</v>
      </c>
      <c r="J19" s="14"/>
      <c r="K19" s="6"/>
      <c r="L19" s="14"/>
    </row>
    <row r="20" spans="2:12" x14ac:dyDescent="0.25">
      <c r="B20" s="10">
        <v>2027</v>
      </c>
      <c r="C20" s="11">
        <v>1536770.45903657</v>
      </c>
      <c r="D20" s="11">
        <f t="shared" si="0"/>
        <v>90244.571428570896</v>
      </c>
      <c r="E20" s="17"/>
      <c r="F20" s="17">
        <f t="shared" si="3"/>
        <v>709434.28571427986</v>
      </c>
      <c r="G20" s="17">
        <f t="shared" si="1"/>
        <v>308.01182583520625</v>
      </c>
      <c r="H20" s="17">
        <f t="shared" si="2"/>
        <v>2590.1065752511004</v>
      </c>
      <c r="I20" s="12">
        <v>14.6</v>
      </c>
      <c r="J20" s="14"/>
      <c r="K20" s="6"/>
      <c r="L20" s="14"/>
    </row>
    <row r="21" spans="2:12" x14ac:dyDescent="0.25">
      <c r="B21" s="10">
        <v>2028</v>
      </c>
      <c r="C21" s="11">
        <v>1578233.9588539612</v>
      </c>
      <c r="D21" s="11">
        <f t="shared" si="0"/>
        <v>94533.714285714552</v>
      </c>
      <c r="E21" s="17"/>
      <c r="F21" s="17">
        <f t="shared" si="3"/>
        <v>803967.99999999441</v>
      </c>
      <c r="G21" s="17">
        <f t="shared" si="1"/>
        <v>320.97288055829932</v>
      </c>
      <c r="H21" s="17">
        <f t="shared" si="2"/>
        <v>2911.0794558093999</v>
      </c>
      <c r="I21" s="12">
        <v>14.6</v>
      </c>
      <c r="J21" s="14"/>
      <c r="K21" s="6"/>
      <c r="L21" s="14"/>
    </row>
    <row r="22" spans="2:12" x14ac:dyDescent="0.25">
      <c r="B22" s="10">
        <v>2029</v>
      </c>
      <c r="C22" s="11">
        <v>1619667.6062884759</v>
      </c>
      <c r="D22" s="11">
        <f t="shared" si="0"/>
        <v>98822.857142856345</v>
      </c>
      <c r="E22" s="17"/>
      <c r="F22" s="17">
        <f t="shared" si="3"/>
        <v>902790.85714285076</v>
      </c>
      <c r="G22" s="17">
        <f t="shared" si="1"/>
        <v>335.11855423826717</v>
      </c>
      <c r="H22" s="17">
        <f t="shared" si="2"/>
        <v>3246.1980100476671</v>
      </c>
      <c r="I22" s="12">
        <v>14.6</v>
      </c>
      <c r="J22" s="14"/>
      <c r="K22" s="6"/>
      <c r="L22" s="14"/>
    </row>
    <row r="23" spans="2:12" x14ac:dyDescent="0.25">
      <c r="B23" s="10">
        <v>2030</v>
      </c>
      <c r="C23" s="11">
        <v>1661026.0804002865</v>
      </c>
      <c r="D23" s="11">
        <f t="shared" si="0"/>
        <v>103112</v>
      </c>
      <c r="E23" s="17"/>
      <c r="F23" s="17">
        <f t="shared" si="3"/>
        <v>1005902.8571428508</v>
      </c>
      <c r="G23" s="17">
        <f t="shared" si="1"/>
        <v>350.83315689895142</v>
      </c>
      <c r="H23" s="17">
        <f t="shared" si="2"/>
        <v>3597.0311669466187</v>
      </c>
      <c r="I23" s="12">
        <v>14.6</v>
      </c>
      <c r="J23" s="14"/>
      <c r="K23" s="6"/>
      <c r="L23" s="14"/>
    </row>
    <row r="24" spans="2:12" x14ac:dyDescent="0.25">
      <c r="B24" t="s">
        <v>23</v>
      </c>
      <c r="C24" t="s">
        <v>24</v>
      </c>
      <c r="D24" t="s">
        <v>25</v>
      </c>
      <c r="E24" t="s">
        <v>27</v>
      </c>
      <c r="F24" s="5"/>
      <c r="I24" s="5"/>
      <c r="J24" s="5"/>
      <c r="K24" s="5"/>
    </row>
    <row r="25" spans="2:12" x14ac:dyDescent="0.25">
      <c r="B25" t="s">
        <v>29</v>
      </c>
      <c r="F25" s="5"/>
      <c r="I25" s="5"/>
      <c r="J25" s="5"/>
      <c r="K25" s="5"/>
    </row>
    <row r="26" spans="2:12" x14ac:dyDescent="0.25">
      <c r="F26" s="5"/>
      <c r="I26" s="5"/>
      <c r="J26" s="5"/>
      <c r="K26" s="5"/>
    </row>
    <row r="27" spans="2:12" x14ac:dyDescent="0.25">
      <c r="B27" s="32"/>
      <c r="C27" s="33"/>
      <c r="D27" s="33"/>
      <c r="E27" s="68" t="s">
        <v>11</v>
      </c>
      <c r="F27" s="68"/>
      <c r="G27" s="68"/>
      <c r="H27" s="68"/>
      <c r="I27" s="34"/>
      <c r="J27" s="5"/>
      <c r="K27" s="5"/>
    </row>
    <row r="28" spans="2:12" ht="30" x14ac:dyDescent="0.25">
      <c r="B28" s="9" t="s">
        <v>0</v>
      </c>
      <c r="C28" s="30" t="s">
        <v>2</v>
      </c>
      <c r="D28" s="30" t="s">
        <v>2</v>
      </c>
      <c r="E28" s="16"/>
      <c r="F28" s="16" t="s">
        <v>6</v>
      </c>
      <c r="G28" s="16" t="s">
        <v>7</v>
      </c>
      <c r="H28" s="16"/>
      <c r="I28" s="9" t="s">
        <v>4</v>
      </c>
      <c r="J28" s="5"/>
      <c r="K28" s="5"/>
    </row>
    <row r="29" spans="2:12" x14ac:dyDescent="0.25">
      <c r="B29" s="10">
        <v>2013</v>
      </c>
      <c r="C29" s="29">
        <v>28898</v>
      </c>
      <c r="D29" s="29">
        <v>28898</v>
      </c>
      <c r="E29" s="17"/>
      <c r="F29" s="17">
        <f>C6</f>
        <v>1073183.6651212492</v>
      </c>
      <c r="G29" s="17">
        <f>F29*K52/I29</f>
        <v>4488.9048500498293</v>
      </c>
      <c r="H29" s="17"/>
      <c r="I29" s="12">
        <v>14.6</v>
      </c>
      <c r="J29" s="5"/>
      <c r="K29" s="5" t="s">
        <v>20</v>
      </c>
    </row>
    <row r="30" spans="2:12" x14ac:dyDescent="0.25">
      <c r="B30" s="10">
        <v>2014</v>
      </c>
      <c r="C30" s="29">
        <v>28300</v>
      </c>
      <c r="D30" s="29">
        <v>28300</v>
      </c>
      <c r="E30" s="17"/>
      <c r="F30" s="17">
        <f t="shared" ref="F30:F33" si="4">C7</f>
        <v>976651.16433813574</v>
      </c>
      <c r="G30" s="17">
        <f t="shared" ref="G30:G46" si="5">F30*K53/I30</f>
        <v>4409.1759291458893</v>
      </c>
      <c r="H30" s="17"/>
      <c r="I30" s="12">
        <v>14.6</v>
      </c>
    </row>
    <row r="31" spans="2:12" x14ac:dyDescent="0.25">
      <c r="B31" s="10">
        <v>2015</v>
      </c>
      <c r="C31" s="29">
        <v>37202</v>
      </c>
      <c r="D31" s="29">
        <v>37202</v>
      </c>
      <c r="E31" s="17"/>
      <c r="F31" s="17">
        <f t="shared" si="4"/>
        <v>1019571.4085290028</v>
      </c>
      <c r="G31" s="17">
        <f t="shared" si="5"/>
        <v>4697.8044143992256</v>
      </c>
      <c r="H31" s="17"/>
      <c r="I31" s="12">
        <v>14.6</v>
      </c>
    </row>
    <row r="32" spans="2:12" x14ac:dyDescent="0.25">
      <c r="B32" s="10">
        <v>2016</v>
      </c>
      <c r="C32" s="29">
        <v>48314</v>
      </c>
      <c r="D32" s="29">
        <v>48314</v>
      </c>
      <c r="E32" s="17"/>
      <c r="F32" s="17">
        <f t="shared" si="4"/>
        <v>1117970.6924468274</v>
      </c>
      <c r="G32" s="17">
        <f t="shared" si="5"/>
        <v>4861.0155688288969</v>
      </c>
      <c r="H32" s="17"/>
      <c r="I32" s="12">
        <v>14.6</v>
      </c>
    </row>
    <row r="33" spans="1:9" x14ac:dyDescent="0.25">
      <c r="B33" s="10">
        <v>2017</v>
      </c>
      <c r="C33" s="29">
        <v>47353.142857141793</v>
      </c>
      <c r="D33" s="29">
        <v>47353.142857141793</v>
      </c>
      <c r="E33" s="17"/>
      <c r="F33" s="17">
        <f t="shared" si="4"/>
        <v>1053030.9082251894</v>
      </c>
      <c r="G33" s="17">
        <f t="shared" si="5"/>
        <v>4774.6817019902837</v>
      </c>
      <c r="H33" s="17"/>
      <c r="I33" s="12">
        <v>14.6</v>
      </c>
    </row>
    <row r="34" spans="1:9" x14ac:dyDescent="0.25">
      <c r="A34" s="3" t="s">
        <v>3</v>
      </c>
      <c r="B34" s="10">
        <v>2018</v>
      </c>
      <c r="C34" s="29">
        <v>51642.285714285448</v>
      </c>
      <c r="D34" s="29">
        <v>51642.285714285448</v>
      </c>
      <c r="E34" s="17"/>
      <c r="F34" s="17">
        <f t="shared" ref="F34:F46" si="6">C11-F11</f>
        <v>1114743.4259252562</v>
      </c>
      <c r="G34" s="17">
        <f t="shared" si="5"/>
        <v>4572.9047607923612</v>
      </c>
      <c r="H34" s="17"/>
      <c r="I34" s="12">
        <v>14.6</v>
      </c>
    </row>
    <row r="35" spans="1:9" x14ac:dyDescent="0.25">
      <c r="B35" s="10">
        <v>2019</v>
      </c>
      <c r="C35" s="29">
        <v>55931.428571427241</v>
      </c>
      <c r="D35" s="29">
        <v>55931.428571427241</v>
      </c>
      <c r="E35" s="17"/>
      <c r="F35" s="17">
        <f t="shared" si="6"/>
        <v>1099417.8719054374</v>
      </c>
      <c r="G35" s="17">
        <f t="shared" si="5"/>
        <v>4374.8827982689982</v>
      </c>
      <c r="H35" s="17"/>
      <c r="I35" s="12">
        <v>14.6</v>
      </c>
    </row>
    <row r="36" spans="1:9" x14ac:dyDescent="0.25">
      <c r="B36" s="10">
        <v>2020</v>
      </c>
      <c r="C36" s="29">
        <v>60220.571428570896</v>
      </c>
      <c r="D36" s="29">
        <v>60220.571428570896</v>
      </c>
      <c r="E36" s="17"/>
      <c r="F36" s="17">
        <f t="shared" si="6"/>
        <v>1079989.8456410582</v>
      </c>
      <c r="G36" s="17">
        <f t="shared" si="5"/>
        <v>4178.1480588033037</v>
      </c>
      <c r="H36" s="17"/>
      <c r="I36" s="12">
        <v>14.6</v>
      </c>
    </row>
    <row r="37" spans="1:9" x14ac:dyDescent="0.25">
      <c r="B37" s="10">
        <v>2021</v>
      </c>
      <c r="C37" s="29">
        <v>64509.714285714552</v>
      </c>
      <c r="D37" s="29">
        <v>64509.714285714552</v>
      </c>
      <c r="E37" s="17"/>
      <c r="F37" s="17">
        <f t="shared" si="6"/>
        <v>1056444.2711188979</v>
      </c>
      <c r="G37" s="17">
        <f t="shared" si="5"/>
        <v>3982.5406391933921</v>
      </c>
      <c r="H37" s="17"/>
      <c r="I37" s="12">
        <v>14.6</v>
      </c>
    </row>
    <row r="38" spans="1:9" x14ac:dyDescent="0.25">
      <c r="B38" s="10">
        <v>2022</v>
      </c>
      <c r="C38" s="29">
        <v>68798.857142856345</v>
      </c>
      <c r="D38" s="29">
        <v>68798.857142856345</v>
      </c>
      <c r="E38" s="17"/>
      <c r="F38" s="17">
        <f t="shared" si="6"/>
        <v>1028754.4652975348</v>
      </c>
      <c r="G38" s="17">
        <f t="shared" si="5"/>
        <v>3788.1330883649971</v>
      </c>
      <c r="H38" s="17"/>
      <c r="I38" s="12">
        <v>14.6</v>
      </c>
    </row>
    <row r="39" spans="1:9" x14ac:dyDescent="0.25">
      <c r="B39" s="10">
        <v>2023</v>
      </c>
      <c r="C39" s="29">
        <v>73088</v>
      </c>
      <c r="D39" s="29">
        <v>73088</v>
      </c>
      <c r="E39" s="17"/>
      <c r="F39" s="17">
        <f t="shared" si="6"/>
        <v>996900.03744880413</v>
      </c>
      <c r="G39" s="17">
        <f t="shared" si="5"/>
        <v>3594.6941276091529</v>
      </c>
      <c r="H39" s="17"/>
      <c r="I39" s="12">
        <v>14.6</v>
      </c>
    </row>
    <row r="40" spans="1:9" x14ac:dyDescent="0.25">
      <c r="B40" s="10">
        <v>2024</v>
      </c>
      <c r="C40" s="29">
        <v>77377.142857141793</v>
      </c>
      <c r="D40" s="29">
        <v>77377.142857141793</v>
      </c>
      <c r="E40" s="17"/>
      <c r="F40" s="17">
        <f t="shared" si="6"/>
        <v>960866.50359787163</v>
      </c>
      <c r="G40" s="17">
        <f t="shared" si="5"/>
        <v>3401.7275357727162</v>
      </c>
      <c r="H40" s="17"/>
      <c r="I40" s="12">
        <v>14.6</v>
      </c>
    </row>
    <row r="41" spans="1:9" x14ac:dyDescent="0.25">
      <c r="B41" s="10">
        <v>2025</v>
      </c>
      <c r="C41" s="29">
        <v>81666.285714285448</v>
      </c>
      <c r="D41" s="29">
        <v>81666.285714285448</v>
      </c>
      <c r="E41" s="17"/>
      <c r="F41" s="17">
        <f t="shared" si="6"/>
        <v>920607.73178697284</v>
      </c>
      <c r="G41" s="17">
        <f t="shared" si="5"/>
        <v>3209.4200578255795</v>
      </c>
      <c r="H41" s="17"/>
      <c r="I41" s="12">
        <v>14.6</v>
      </c>
    </row>
    <row r="42" spans="1:9" x14ac:dyDescent="0.25">
      <c r="B42" s="10">
        <v>2026</v>
      </c>
      <c r="C42" s="29">
        <v>85955.428571427241</v>
      </c>
      <c r="D42" s="29">
        <v>85955.428571427241</v>
      </c>
      <c r="E42" s="17"/>
      <c r="F42" s="17">
        <f t="shared" si="6"/>
        <v>876106.90760173183</v>
      </c>
      <c r="G42" s="17">
        <f t="shared" si="5"/>
        <v>3016.9885445153573</v>
      </c>
      <c r="H42" s="17"/>
      <c r="I42" s="12">
        <v>14.6</v>
      </c>
    </row>
    <row r="43" spans="1:9" x14ac:dyDescent="0.25">
      <c r="B43" s="10">
        <v>2027</v>
      </c>
      <c r="C43" s="29">
        <v>90244.571428570896</v>
      </c>
      <c r="D43" s="29">
        <v>90244.571428570896</v>
      </c>
      <c r="E43" s="17"/>
      <c r="F43" s="17">
        <f t="shared" si="6"/>
        <v>827336.17332229018</v>
      </c>
      <c r="G43" s="17">
        <f t="shared" si="5"/>
        <v>2823.7634828396313</v>
      </c>
      <c r="H43" s="17"/>
      <c r="I43" s="12">
        <v>14.6</v>
      </c>
    </row>
    <row r="44" spans="1:9" x14ac:dyDescent="0.25">
      <c r="B44" s="10">
        <v>2028</v>
      </c>
      <c r="C44" s="29">
        <v>94533.714285714552</v>
      </c>
      <c r="D44" s="29">
        <v>94533.714285714552</v>
      </c>
      <c r="E44" s="17"/>
      <c r="F44" s="17">
        <f t="shared" si="6"/>
        <v>774265.95885396679</v>
      </c>
      <c r="G44" s="17">
        <f t="shared" si="5"/>
        <v>2628.8861810769477</v>
      </c>
      <c r="H44" s="17"/>
      <c r="I44" s="12">
        <v>14.6</v>
      </c>
    </row>
    <row r="45" spans="1:9" x14ac:dyDescent="0.25">
      <c r="B45" s="10">
        <v>2029</v>
      </c>
      <c r="C45" s="29">
        <v>98822.857142856345</v>
      </c>
      <c r="D45" s="29">
        <v>98822.857142856345</v>
      </c>
      <c r="E45" s="17"/>
      <c r="F45" s="17">
        <f t="shared" si="6"/>
        <v>716876.74914562516</v>
      </c>
      <c r="G45" s="17">
        <f t="shared" si="5"/>
        <v>2431.0033800523147</v>
      </c>
      <c r="H45" s="17"/>
      <c r="I45" s="12">
        <v>14.6</v>
      </c>
    </row>
    <row r="46" spans="1:9" x14ac:dyDescent="0.25">
      <c r="B46" s="10">
        <v>2030</v>
      </c>
      <c r="C46" s="29">
        <v>103112</v>
      </c>
      <c r="D46" s="29">
        <v>103112</v>
      </c>
      <c r="E46" s="17"/>
      <c r="F46" s="17">
        <f t="shared" si="6"/>
        <v>655123.22325743572</v>
      </c>
      <c r="G46" s="17">
        <f t="shared" si="5"/>
        <v>2229.0223114014152</v>
      </c>
      <c r="H46" s="17"/>
      <c r="I46" s="12">
        <v>14.6</v>
      </c>
    </row>
    <row r="50" spans="1:15" x14ac:dyDescent="0.25">
      <c r="B50" s="68" t="s">
        <v>13</v>
      </c>
      <c r="C50" s="68"/>
      <c r="D50" s="68"/>
      <c r="E50" s="68"/>
      <c r="F50" s="68"/>
      <c r="G50" s="68"/>
      <c r="H50" s="68"/>
      <c r="I50" s="68"/>
      <c r="J50" s="68"/>
      <c r="K50" s="68"/>
    </row>
    <row r="51" spans="1:15" ht="54" x14ac:dyDescent="0.25">
      <c r="B51" s="9" t="s">
        <v>0</v>
      </c>
      <c r="C51" s="19" t="s">
        <v>30</v>
      </c>
      <c r="D51" s="9" t="s">
        <v>22</v>
      </c>
      <c r="E51" s="16" t="s">
        <v>6</v>
      </c>
      <c r="F51" s="16" t="s">
        <v>19</v>
      </c>
      <c r="G51" s="9" t="s">
        <v>14</v>
      </c>
      <c r="H51" s="9" t="s">
        <v>15</v>
      </c>
      <c r="I51" s="16" t="s">
        <v>18</v>
      </c>
      <c r="J51" s="16" t="s">
        <v>16</v>
      </c>
      <c r="K51" s="16" t="s">
        <v>12</v>
      </c>
    </row>
    <row r="52" spans="1:15" x14ac:dyDescent="0.25">
      <c r="B52" s="10">
        <v>2013</v>
      </c>
      <c r="C52" s="11">
        <v>4488.9048500498293</v>
      </c>
      <c r="D52" s="11">
        <v>1073183.6651212492</v>
      </c>
      <c r="E52" s="17">
        <f>F29</f>
        <v>1073183.6651212492</v>
      </c>
      <c r="F52" s="17"/>
      <c r="G52" s="21">
        <v>14.6</v>
      </c>
      <c r="H52" s="21"/>
      <c r="I52" s="17"/>
      <c r="J52" s="17"/>
      <c r="K52" s="31">
        <f t="shared" ref="K52:K55" si="7">C52/(E52/G52)</f>
        <v>6.1068774097789651E-2</v>
      </c>
    </row>
    <row r="53" spans="1:15" x14ac:dyDescent="0.25">
      <c r="B53" s="10">
        <v>2014</v>
      </c>
      <c r="C53" s="11">
        <v>4409.1759291458902</v>
      </c>
      <c r="D53" s="11">
        <v>976651.16433813574</v>
      </c>
      <c r="E53" s="17">
        <f t="shared" ref="E53:E69" si="8">F30</f>
        <v>976651.16433813574</v>
      </c>
      <c r="F53" s="17"/>
      <c r="G53" s="21">
        <v>14.6</v>
      </c>
      <c r="H53" s="21"/>
      <c r="I53" s="17"/>
      <c r="J53" s="17"/>
      <c r="K53" s="31">
        <f t="shared" si="7"/>
        <v>6.5912959423086767E-2</v>
      </c>
    </row>
    <row r="54" spans="1:15" x14ac:dyDescent="0.25">
      <c r="B54" s="10">
        <v>2015</v>
      </c>
      <c r="C54" s="11">
        <v>4697.8044143992256</v>
      </c>
      <c r="D54" s="11">
        <v>1019571.4085290028</v>
      </c>
      <c r="E54" s="17">
        <f t="shared" si="8"/>
        <v>1019571.4085290028</v>
      </c>
      <c r="F54" s="17"/>
      <c r="G54" s="21">
        <v>14.6</v>
      </c>
      <c r="H54" s="21"/>
      <c r="I54" s="17"/>
      <c r="J54" s="17"/>
      <c r="K54" s="31">
        <f t="shared" si="7"/>
        <v>6.7271349389038532E-2</v>
      </c>
    </row>
    <row r="55" spans="1:15" x14ac:dyDescent="0.25">
      <c r="B55" s="10">
        <v>2016</v>
      </c>
      <c r="C55" s="11">
        <v>4861.015568828896</v>
      </c>
      <c r="D55" s="11">
        <v>1117970.6924468274</v>
      </c>
      <c r="E55" s="17">
        <f t="shared" si="8"/>
        <v>1117970.6924468274</v>
      </c>
      <c r="F55" s="17"/>
      <c r="G55" s="21">
        <v>14.6</v>
      </c>
      <c r="H55" s="21"/>
      <c r="I55" s="17"/>
      <c r="J55" s="17"/>
      <c r="K55" s="31">
        <f t="shared" si="7"/>
        <v>6.3481831665526761E-2</v>
      </c>
    </row>
    <row r="56" spans="1:15" x14ac:dyDescent="0.25">
      <c r="B56" s="10">
        <v>2017</v>
      </c>
      <c r="C56" s="11">
        <v>4774.6817019902828</v>
      </c>
      <c r="D56" s="11">
        <v>1053030.9082251894</v>
      </c>
      <c r="E56" s="17">
        <f t="shared" si="8"/>
        <v>1053030.9082251894</v>
      </c>
      <c r="F56" s="17"/>
      <c r="G56" s="21">
        <v>14.6</v>
      </c>
      <c r="H56" s="21">
        <v>14.6</v>
      </c>
      <c r="I56" s="17">
        <f>F56*K56/H56</f>
        <v>0</v>
      </c>
      <c r="J56" s="17"/>
      <c r="K56" s="31">
        <f>C56/(E56/G56)</f>
        <v>6.6199721493977889E-2</v>
      </c>
    </row>
    <row r="57" spans="1:15" x14ac:dyDescent="0.25">
      <c r="A57" s="3" t="s">
        <v>3</v>
      </c>
      <c r="B57" s="10">
        <v>2018</v>
      </c>
      <c r="C57" s="11">
        <v>4784.7519434793039</v>
      </c>
      <c r="D57" s="11">
        <v>1166385.7116395417</v>
      </c>
      <c r="E57" s="17">
        <f t="shared" si="8"/>
        <v>1114743.4259252562</v>
      </c>
      <c r="F57" s="17">
        <f>D11</f>
        <v>51642.285714285448</v>
      </c>
      <c r="G57" s="21">
        <v>14.6</v>
      </c>
      <c r="H57" s="21">
        <v>14.6</v>
      </c>
      <c r="I57" s="17">
        <f t="shared" ref="I57:I69" si="9">F57*K57/H57</f>
        <v>211.84718268694195</v>
      </c>
      <c r="J57" s="20">
        <f>J56+I56</f>
        <v>0</v>
      </c>
      <c r="K57" s="22">
        <f>(C57-J57)/(E57/G57+F57/H57)</f>
        <v>5.9892176042350614E-2</v>
      </c>
      <c r="L57" s="2">
        <f t="shared" ref="L57:L65" si="10">E57*K57/G57</f>
        <v>4572.9047607923612</v>
      </c>
      <c r="M57" s="2">
        <f t="shared" ref="M57:M65" si="11">F57*K57/H57</f>
        <v>211.84718268694195</v>
      </c>
      <c r="N57" s="2">
        <f>L57+SUM($M$57:M57)</f>
        <v>4784.751943479303</v>
      </c>
      <c r="O57" s="2">
        <f>N57-L57</f>
        <v>211.84718268694178</v>
      </c>
    </row>
    <row r="58" spans="1:15" x14ac:dyDescent="0.25">
      <c r="B58" s="10">
        <v>2019</v>
      </c>
      <c r="C58" s="11">
        <v>4809.2963508437269</v>
      </c>
      <c r="D58" s="11">
        <v>1206991.5861911501</v>
      </c>
      <c r="E58" s="17">
        <f t="shared" si="8"/>
        <v>1099417.8719054374</v>
      </c>
      <c r="F58" s="17">
        <f t="shared" ref="F58:F69" si="12">D12</f>
        <v>55931.428571427241</v>
      </c>
      <c r="G58" s="21">
        <v>14.6</v>
      </c>
      <c r="H58" s="21">
        <v>14.6</v>
      </c>
      <c r="I58" s="17">
        <f t="shared" si="9"/>
        <v>222.5663698877861</v>
      </c>
      <c r="J58" s="20">
        <f t="shared" ref="J58:J69" si="13">J57+I57</f>
        <v>211.84718268694195</v>
      </c>
      <c r="K58" s="22">
        <f t="shared" ref="K58:K69" si="14">(C58-J58)/(E58/G58+F58/H58)</f>
        <v>5.8097371788241418E-2</v>
      </c>
      <c r="L58" s="2">
        <f t="shared" si="10"/>
        <v>4374.8827982689982</v>
      </c>
      <c r="M58" s="2">
        <f t="shared" si="11"/>
        <v>222.5663698877861</v>
      </c>
      <c r="N58" s="2">
        <f>L58+SUM($M$57:M58)</f>
        <v>4809.296350843726</v>
      </c>
      <c r="O58" s="2">
        <f t="shared" ref="O58:O69" si="15">N58-L58</f>
        <v>434.41355257472787</v>
      </c>
    </row>
    <row r="59" spans="1:15" s="14" customFormat="1" x14ac:dyDescent="0.25">
      <c r="B59" s="10">
        <v>2020</v>
      </c>
      <c r="C59" s="11">
        <v>4845.536453345142</v>
      </c>
      <c r="D59" s="11">
        <v>1247784.1313553418</v>
      </c>
      <c r="E59" s="17">
        <f t="shared" si="8"/>
        <v>1079989.8456410582</v>
      </c>
      <c r="F59" s="17">
        <f t="shared" si="12"/>
        <v>60220.571428570896</v>
      </c>
      <c r="G59" s="21">
        <v>14.6</v>
      </c>
      <c r="H59" s="21">
        <v>14.6</v>
      </c>
      <c r="I59" s="17">
        <f t="shared" si="9"/>
        <v>232.97484196711011</v>
      </c>
      <c r="J59" s="20">
        <f t="shared" si="13"/>
        <v>434.41355257472804</v>
      </c>
      <c r="K59" s="22">
        <f>(C59-J59)/(E59/G59+F59/H59)</f>
        <v>5.6482902968702828E-2</v>
      </c>
      <c r="L59" s="8">
        <f t="shared" si="10"/>
        <v>4178.1480588033037</v>
      </c>
      <c r="M59" s="8">
        <f t="shared" si="11"/>
        <v>232.97484196711011</v>
      </c>
      <c r="N59" s="8">
        <f>L59+SUM($M$57:M59)</f>
        <v>4845.536453345142</v>
      </c>
      <c r="O59" s="8">
        <f t="shared" si="15"/>
        <v>667.38839454183835</v>
      </c>
    </row>
    <row r="60" spans="1:15" x14ac:dyDescent="0.25">
      <c r="B60" s="10">
        <v>2021</v>
      </c>
      <c r="C60" s="11">
        <v>4893.1151305214926</v>
      </c>
      <c r="D60" s="11">
        <v>1288748.2711188961</v>
      </c>
      <c r="E60" s="17">
        <f t="shared" si="8"/>
        <v>1056444.2711188979</v>
      </c>
      <c r="F60" s="17">
        <f t="shared" si="12"/>
        <v>64509.714285714552</v>
      </c>
      <c r="G60" s="21">
        <v>14.6</v>
      </c>
      <c r="H60" s="21">
        <v>14.6</v>
      </c>
      <c r="I60" s="17">
        <f t="shared" si="9"/>
        <v>243.18609678626237</v>
      </c>
      <c r="J60" s="20">
        <f t="shared" si="13"/>
        <v>667.38839454183812</v>
      </c>
      <c r="K60" s="22">
        <f t="shared" si="14"/>
        <v>5.5038486100777537E-2</v>
      </c>
      <c r="L60" s="2">
        <f t="shared" si="10"/>
        <v>3982.5406391933921</v>
      </c>
      <c r="M60" s="2">
        <f t="shared" si="11"/>
        <v>243.18609678626237</v>
      </c>
      <c r="N60" s="2">
        <f>L60+SUM($M$57:M60)</f>
        <v>4893.1151305214926</v>
      </c>
      <c r="O60" s="2">
        <f t="shared" si="15"/>
        <v>910.57449132810052</v>
      </c>
    </row>
    <row r="61" spans="1:15" x14ac:dyDescent="0.25">
      <c r="B61" s="10">
        <v>2022</v>
      </c>
      <c r="C61" s="11">
        <v>4952.0423023853336</v>
      </c>
      <c r="D61" s="11">
        <v>1329857.3224403893</v>
      </c>
      <c r="E61" s="17">
        <f t="shared" si="8"/>
        <v>1028754.4652975348</v>
      </c>
      <c r="F61" s="17">
        <f t="shared" si="12"/>
        <v>68798.857142856345</v>
      </c>
      <c r="G61" s="21">
        <v>14.6</v>
      </c>
      <c r="H61" s="21">
        <v>14.6</v>
      </c>
      <c r="I61" s="17">
        <f t="shared" si="9"/>
        <v>253.33472269223611</v>
      </c>
      <c r="J61" s="20">
        <f t="shared" si="13"/>
        <v>910.57449132810052</v>
      </c>
      <c r="K61" s="22">
        <f t="shared" si="14"/>
        <v>5.3760877795201813E-2</v>
      </c>
      <c r="L61" s="2">
        <f t="shared" si="10"/>
        <v>3788.1330883649971</v>
      </c>
      <c r="M61" s="2">
        <f t="shared" si="11"/>
        <v>253.33472269223611</v>
      </c>
      <c r="N61" s="2">
        <f>L61+SUM($M$57:M61)</f>
        <v>4952.0423023853336</v>
      </c>
      <c r="O61" s="2">
        <f t="shared" si="15"/>
        <v>1163.9092140203365</v>
      </c>
    </row>
    <row r="62" spans="1:15" x14ac:dyDescent="0.25">
      <c r="B62" s="10">
        <v>2023</v>
      </c>
      <c r="C62" s="11">
        <v>5022.1493287186813</v>
      </c>
      <c r="D62" s="11">
        <v>1371090.8945916586</v>
      </c>
      <c r="E62" s="17">
        <f t="shared" si="8"/>
        <v>996900.03744880413</v>
      </c>
      <c r="F62" s="17">
        <f t="shared" si="12"/>
        <v>73088</v>
      </c>
      <c r="G62" s="21">
        <v>14.6</v>
      </c>
      <c r="H62" s="21">
        <v>14.6</v>
      </c>
      <c r="I62" s="17">
        <f t="shared" si="9"/>
        <v>263.54598708919218</v>
      </c>
      <c r="J62" s="20">
        <f>J61+I61</f>
        <v>1163.9092140203365</v>
      </c>
      <c r="K62" s="22">
        <f>(C62-J62)/(E62/G62+F62/H62)</f>
        <v>5.2645734067182107E-2</v>
      </c>
      <c r="L62" s="2">
        <f t="shared" si="10"/>
        <v>3594.6941276091529</v>
      </c>
      <c r="M62" s="2">
        <f t="shared" si="11"/>
        <v>263.54598708919218</v>
      </c>
      <c r="N62" s="2">
        <f>L62+SUM($M$57:M62)</f>
        <v>5022.1493287186822</v>
      </c>
      <c r="O62" s="2">
        <f t="shared" si="15"/>
        <v>1427.4552011095293</v>
      </c>
    </row>
    <row r="63" spans="1:15" x14ac:dyDescent="0.25">
      <c r="B63" s="10">
        <v>2024</v>
      </c>
      <c r="C63" s="11">
        <v>5103.1187691104178</v>
      </c>
      <c r="D63" s="11">
        <v>1412434.5035978679</v>
      </c>
      <c r="E63" s="17">
        <f t="shared" si="8"/>
        <v>960866.50359787163</v>
      </c>
      <c r="F63" s="17">
        <f t="shared" si="12"/>
        <v>77377.142857141793</v>
      </c>
      <c r="G63" s="21">
        <v>14.6</v>
      </c>
      <c r="H63" s="21">
        <v>14.6</v>
      </c>
      <c r="I63" s="17">
        <f t="shared" si="9"/>
        <v>273.93603222817291</v>
      </c>
      <c r="J63" s="20">
        <f t="shared" si="13"/>
        <v>1427.4552011095288</v>
      </c>
      <c r="K63" s="22">
        <f t="shared" si="14"/>
        <v>5.1687952318365801E-2</v>
      </c>
      <c r="L63" s="2">
        <f t="shared" si="10"/>
        <v>3401.7275357727162</v>
      </c>
      <c r="M63" s="2">
        <f t="shared" si="11"/>
        <v>273.93603222817291</v>
      </c>
      <c r="N63" s="2">
        <f>L63+SUM($M$57:M63)</f>
        <v>5103.1187691104178</v>
      </c>
      <c r="O63" s="2">
        <f t="shared" si="15"/>
        <v>1701.3912333377016</v>
      </c>
    </row>
    <row r="64" spans="1:15" x14ac:dyDescent="0.25">
      <c r="B64" s="10">
        <v>2025</v>
      </c>
      <c r="C64" s="11">
        <v>5195.5160642926385</v>
      </c>
      <c r="D64" s="11">
        <v>1453842.0175012546</v>
      </c>
      <c r="E64" s="17">
        <f t="shared" si="8"/>
        <v>920607.73178697284</v>
      </c>
      <c r="F64" s="17">
        <f t="shared" si="12"/>
        <v>81666.285714285448</v>
      </c>
      <c r="G64" s="21">
        <v>14.6</v>
      </c>
      <c r="H64" s="21">
        <v>14.6</v>
      </c>
      <c r="I64" s="17">
        <f t="shared" si="9"/>
        <v>284.70477312935725</v>
      </c>
      <c r="J64" s="20">
        <f t="shared" si="13"/>
        <v>1701.3912333377018</v>
      </c>
      <c r="K64" s="22">
        <f t="shared" si="14"/>
        <v>5.089847850104328E-2</v>
      </c>
      <c r="L64" s="2">
        <f t="shared" si="10"/>
        <v>3209.4200578255795</v>
      </c>
      <c r="M64" s="2">
        <f t="shared" si="11"/>
        <v>284.70477312935725</v>
      </c>
      <c r="N64" s="2">
        <f>L64+SUM($M$57:M64)</f>
        <v>5195.5160642926385</v>
      </c>
      <c r="O64" s="2">
        <f t="shared" si="15"/>
        <v>1986.0960064670589</v>
      </c>
    </row>
    <row r="65" spans="2:15" x14ac:dyDescent="0.25">
      <c r="B65" s="10">
        <v>2026</v>
      </c>
      <c r="C65" s="11">
        <v>5299.0832939312513</v>
      </c>
      <c r="D65" s="11">
        <v>1495296.6218874408</v>
      </c>
      <c r="E65" s="17">
        <f t="shared" si="8"/>
        <v>876106.90760173183</v>
      </c>
      <c r="F65" s="17">
        <f t="shared" si="12"/>
        <v>85955.428571427241</v>
      </c>
      <c r="G65" s="21">
        <v>14.6</v>
      </c>
      <c r="H65" s="21">
        <v>14.6</v>
      </c>
      <c r="I65" s="17">
        <f t="shared" si="9"/>
        <v>295.99874294883523</v>
      </c>
      <c r="J65" s="20">
        <f t="shared" si="13"/>
        <v>1986.0960064670589</v>
      </c>
      <c r="K65" s="22">
        <f t="shared" si="14"/>
        <v>5.0277006570467471E-2</v>
      </c>
      <c r="L65" s="2">
        <f t="shared" si="10"/>
        <v>3016.9885445153573</v>
      </c>
      <c r="M65" s="2">
        <f t="shared" si="11"/>
        <v>295.99874294883523</v>
      </c>
      <c r="N65" s="2">
        <f>L65+SUM($M$57:M65)</f>
        <v>5299.0832939312513</v>
      </c>
      <c r="O65" s="2">
        <f t="shared" si="15"/>
        <v>2282.0947494158941</v>
      </c>
    </row>
    <row r="66" spans="2:15" x14ac:dyDescent="0.25">
      <c r="B66" s="10">
        <v>2027</v>
      </c>
      <c r="C66" s="11">
        <v>5413.8700580907316</v>
      </c>
      <c r="D66" s="11">
        <v>1536770.45903657</v>
      </c>
      <c r="E66" s="17">
        <f t="shared" si="8"/>
        <v>827336.17332229018</v>
      </c>
      <c r="F66" s="17">
        <f t="shared" si="12"/>
        <v>90244.571428570896</v>
      </c>
      <c r="G66" s="21">
        <v>14.6</v>
      </c>
      <c r="H66" s="21">
        <v>14.6</v>
      </c>
      <c r="I66" s="17">
        <f t="shared" si="9"/>
        <v>308.01182583520625</v>
      </c>
      <c r="J66" s="20">
        <f t="shared" si="13"/>
        <v>2282.0947494158941</v>
      </c>
      <c r="K66" s="22">
        <f>(C66-J66)/(E66/G66+F66/H66)</f>
        <v>4.9830949230596E-2</v>
      </c>
      <c r="L66" s="2">
        <f>E66*K66/G66</f>
        <v>2823.7634828396313</v>
      </c>
      <c r="M66" s="2">
        <f>F66*K66/H66</f>
        <v>308.01182583520625</v>
      </c>
      <c r="N66" s="2">
        <f>L66+SUM($M$57:M66)</f>
        <v>5413.8700580907316</v>
      </c>
      <c r="O66" s="2">
        <f t="shared" si="15"/>
        <v>2590.1065752511004</v>
      </c>
    </row>
    <row r="67" spans="2:15" x14ac:dyDescent="0.25">
      <c r="B67" s="10">
        <v>2028</v>
      </c>
      <c r="C67" s="11">
        <v>5539.9656368863471</v>
      </c>
      <c r="D67" s="11">
        <v>1578233.9588539612</v>
      </c>
      <c r="E67" s="17">
        <f t="shared" si="8"/>
        <v>774265.95885396679</v>
      </c>
      <c r="F67" s="17">
        <f t="shared" si="12"/>
        <v>94533.714285714552</v>
      </c>
      <c r="G67" s="21">
        <v>14.6</v>
      </c>
      <c r="H67" s="21">
        <v>14.6</v>
      </c>
      <c r="I67" s="17">
        <f t="shared" si="9"/>
        <v>320.97288055829932</v>
      </c>
      <c r="J67" s="20">
        <f t="shared" si="13"/>
        <v>2590.1065752511004</v>
      </c>
      <c r="K67" s="22">
        <f t="shared" si="14"/>
        <v>4.9571775440746917E-2</v>
      </c>
      <c r="L67" s="2">
        <f t="shared" ref="L67:L69" si="16">E67*K67/G67</f>
        <v>2628.8861810769477</v>
      </c>
      <c r="M67" s="2">
        <f t="shared" ref="M67:M69" si="17">F67*K67/H67</f>
        <v>320.97288055829932</v>
      </c>
      <c r="N67" s="2">
        <f>L67+SUM($M$57:M67)</f>
        <v>5539.9656368863471</v>
      </c>
      <c r="O67" s="2">
        <f t="shared" si="15"/>
        <v>2911.0794558093994</v>
      </c>
    </row>
    <row r="68" spans="2:15" x14ac:dyDescent="0.25">
      <c r="B68" s="10">
        <v>2029</v>
      </c>
      <c r="C68" s="11">
        <v>5677.2013900999818</v>
      </c>
      <c r="D68" s="11">
        <v>1619667.6062884759</v>
      </c>
      <c r="E68" s="17">
        <f t="shared" si="8"/>
        <v>716876.74914562516</v>
      </c>
      <c r="F68" s="17">
        <f t="shared" si="12"/>
        <v>98822.857142856345</v>
      </c>
      <c r="G68" s="21">
        <v>14.6</v>
      </c>
      <c r="H68" s="21">
        <v>14.6</v>
      </c>
      <c r="I68" s="17">
        <f t="shared" si="9"/>
        <v>335.11855423826717</v>
      </c>
      <c r="J68" s="20">
        <f t="shared" si="13"/>
        <v>2911.0794558093999</v>
      </c>
      <c r="K68" s="22">
        <f t="shared" si="14"/>
        <v>4.9510113685600751E-2</v>
      </c>
      <c r="L68" s="2">
        <f t="shared" si="16"/>
        <v>2431.0033800523147</v>
      </c>
      <c r="M68" s="2">
        <f t="shared" si="17"/>
        <v>335.11855423826717</v>
      </c>
      <c r="N68" s="2">
        <f>L68+SUM($M$57:M68)</f>
        <v>5677.2013900999818</v>
      </c>
      <c r="O68" s="2">
        <f t="shared" si="15"/>
        <v>3246.1980100476671</v>
      </c>
    </row>
    <row r="69" spans="2:15" x14ac:dyDescent="0.25">
      <c r="B69" s="10">
        <v>2030</v>
      </c>
      <c r="C69" s="11">
        <v>5826.0534783480334</v>
      </c>
      <c r="D69" s="11">
        <v>1661026.0804002865</v>
      </c>
      <c r="E69" s="17">
        <f t="shared" si="8"/>
        <v>655123.22325743572</v>
      </c>
      <c r="F69" s="17">
        <f t="shared" si="12"/>
        <v>103112</v>
      </c>
      <c r="G69" s="21">
        <v>14.6</v>
      </c>
      <c r="H69" s="21">
        <v>14.6</v>
      </c>
      <c r="I69" s="17">
        <f t="shared" si="9"/>
        <v>350.83315689895142</v>
      </c>
      <c r="J69" s="20">
        <f t="shared" si="13"/>
        <v>3246.1980100476671</v>
      </c>
      <c r="K69" s="22">
        <f t="shared" si="14"/>
        <v>4.9675732123561661E-2</v>
      </c>
      <c r="L69" s="2">
        <f t="shared" si="16"/>
        <v>2229.0223114014152</v>
      </c>
      <c r="M69" s="2">
        <f t="shared" si="17"/>
        <v>350.83315689895142</v>
      </c>
      <c r="N69" s="2">
        <f>L69+SUM($M$57:M69)</f>
        <v>5826.0534783480343</v>
      </c>
      <c r="O69" s="2">
        <f t="shared" si="15"/>
        <v>3597.0311669466191</v>
      </c>
    </row>
    <row r="70" spans="2:15" x14ac:dyDescent="0.25">
      <c r="B70" t="s">
        <v>23</v>
      </c>
      <c r="C70" t="s">
        <v>24</v>
      </c>
      <c r="D70" t="s">
        <v>25</v>
      </c>
      <c r="E70" t="s">
        <v>27</v>
      </c>
    </row>
    <row r="72" spans="2:15" ht="18" x14ac:dyDescent="0.35">
      <c r="E72" s="1"/>
      <c r="F72" s="3" t="s">
        <v>70</v>
      </c>
    </row>
    <row r="73" spans="2:15" ht="38.25" x14ac:dyDescent="0.25">
      <c r="B73" s="24" t="s">
        <v>0</v>
      </c>
      <c r="C73" s="9" t="s">
        <v>22</v>
      </c>
      <c r="D73" s="25" t="s">
        <v>5</v>
      </c>
      <c r="E73" s="25" t="s">
        <v>6</v>
      </c>
      <c r="F73" s="23" t="s">
        <v>71</v>
      </c>
      <c r="G73" s="25" t="s">
        <v>72</v>
      </c>
      <c r="H73" s="25" t="s">
        <v>73</v>
      </c>
      <c r="I73" s="25" t="s">
        <v>74</v>
      </c>
    </row>
    <row r="74" spans="2:15" x14ac:dyDescent="0.25">
      <c r="B74" s="26">
        <v>2013</v>
      </c>
      <c r="C74" s="27">
        <v>1073183.6651212492</v>
      </c>
      <c r="D74" s="28"/>
      <c r="E74" s="28">
        <f>F29</f>
        <v>1073183.6651212492</v>
      </c>
      <c r="F74" s="27">
        <v>4488.9048500498293</v>
      </c>
      <c r="G74" s="28">
        <f>H6</f>
        <v>0</v>
      </c>
      <c r="H74" s="28">
        <f>G29</f>
        <v>4488.9048500498293</v>
      </c>
      <c r="I74" s="28">
        <f>G74+H74</f>
        <v>4488.9048500498293</v>
      </c>
    </row>
    <row r="75" spans="2:15" x14ac:dyDescent="0.25">
      <c r="B75" s="26">
        <v>2014</v>
      </c>
      <c r="C75" s="27">
        <v>976651.16433813574</v>
      </c>
      <c r="D75" s="28"/>
      <c r="E75" s="28">
        <f t="shared" ref="E75:E91" si="18">F30</f>
        <v>976651.16433813574</v>
      </c>
      <c r="F75" s="27">
        <v>4409.1759291458902</v>
      </c>
      <c r="G75" s="28">
        <f t="shared" ref="G75:G91" si="19">H7</f>
        <v>0</v>
      </c>
      <c r="H75" s="28">
        <f t="shared" ref="H75:H91" si="20">G30</f>
        <v>4409.1759291458893</v>
      </c>
      <c r="I75" s="28">
        <f t="shared" ref="I75:I91" si="21">G75+H75</f>
        <v>4409.1759291458893</v>
      </c>
    </row>
    <row r="76" spans="2:15" x14ac:dyDescent="0.25">
      <c r="B76" s="26">
        <v>2015</v>
      </c>
      <c r="C76" s="27">
        <v>1019571.4085290028</v>
      </c>
      <c r="D76" s="28"/>
      <c r="E76" s="28">
        <f t="shared" si="18"/>
        <v>1019571.4085290028</v>
      </c>
      <c r="F76" s="27">
        <v>4697.8044143992256</v>
      </c>
      <c r="G76" s="28">
        <f t="shared" si="19"/>
        <v>0</v>
      </c>
      <c r="H76" s="28">
        <f t="shared" si="20"/>
        <v>4697.8044143992256</v>
      </c>
      <c r="I76" s="28">
        <f t="shared" si="21"/>
        <v>4697.8044143992256</v>
      </c>
    </row>
    <row r="77" spans="2:15" x14ac:dyDescent="0.25">
      <c r="B77" s="26">
        <v>2016</v>
      </c>
      <c r="C77" s="27">
        <v>1117970.6924468274</v>
      </c>
      <c r="D77" s="28"/>
      <c r="E77" s="28">
        <f t="shared" si="18"/>
        <v>1117970.6924468274</v>
      </c>
      <c r="F77" s="27">
        <v>4861.015568828896</v>
      </c>
      <c r="G77" s="28">
        <f t="shared" si="19"/>
        <v>0</v>
      </c>
      <c r="H77" s="28">
        <f t="shared" si="20"/>
        <v>4861.0155688288969</v>
      </c>
      <c r="I77" s="28">
        <f t="shared" si="21"/>
        <v>4861.0155688288969</v>
      </c>
    </row>
    <row r="78" spans="2:15" x14ac:dyDescent="0.25">
      <c r="B78" s="26">
        <v>2017</v>
      </c>
      <c r="C78" s="27">
        <v>1053030.9082251894</v>
      </c>
      <c r="D78" s="28"/>
      <c r="E78" s="28">
        <f t="shared" si="18"/>
        <v>1053030.9082251894</v>
      </c>
      <c r="F78" s="27">
        <v>4774.6817019902828</v>
      </c>
      <c r="G78" s="28">
        <f t="shared" si="19"/>
        <v>0</v>
      </c>
      <c r="H78" s="28">
        <f t="shared" si="20"/>
        <v>4774.6817019902837</v>
      </c>
      <c r="I78" s="28">
        <f t="shared" si="21"/>
        <v>4774.6817019902837</v>
      </c>
    </row>
    <row r="79" spans="2:15" x14ac:dyDescent="0.25">
      <c r="B79" s="26">
        <v>2018</v>
      </c>
      <c r="C79" s="27">
        <v>1166385.7116395417</v>
      </c>
      <c r="D79" s="28">
        <f>F11</f>
        <v>51642.285714285448</v>
      </c>
      <c r="E79" s="28">
        <f t="shared" si="18"/>
        <v>1114743.4259252562</v>
      </c>
      <c r="F79" s="27">
        <v>4784.7519434793039</v>
      </c>
      <c r="G79" s="28">
        <f t="shared" si="19"/>
        <v>211.84718268694195</v>
      </c>
      <c r="H79" s="28">
        <f t="shared" si="20"/>
        <v>4572.9047607923612</v>
      </c>
      <c r="I79" s="28">
        <f t="shared" si="21"/>
        <v>4784.751943479303</v>
      </c>
    </row>
    <row r="80" spans="2:15" x14ac:dyDescent="0.25">
      <c r="B80" s="26">
        <v>2019</v>
      </c>
      <c r="C80" s="27">
        <v>1206991.5861911501</v>
      </c>
      <c r="D80" s="28">
        <f t="shared" ref="D80:D91" si="22">F12</f>
        <v>107573.71428571269</v>
      </c>
      <c r="E80" s="28">
        <f t="shared" si="18"/>
        <v>1099417.8719054374</v>
      </c>
      <c r="F80" s="27">
        <v>4809.2963508437269</v>
      </c>
      <c r="G80" s="28">
        <f t="shared" si="19"/>
        <v>434.41355257472804</v>
      </c>
      <c r="H80" s="28">
        <f t="shared" si="20"/>
        <v>4374.8827982689982</v>
      </c>
      <c r="I80" s="28">
        <f t="shared" si="21"/>
        <v>4809.296350843726</v>
      </c>
    </row>
    <row r="81" spans="2:9" x14ac:dyDescent="0.25">
      <c r="B81" s="26">
        <v>2020</v>
      </c>
      <c r="C81" s="27">
        <v>1247784.1313553418</v>
      </c>
      <c r="D81" s="28">
        <f t="shared" si="22"/>
        <v>167794.28571428359</v>
      </c>
      <c r="E81" s="28">
        <f t="shared" si="18"/>
        <v>1079989.8456410582</v>
      </c>
      <c r="F81" s="27">
        <v>4845.536453345142</v>
      </c>
      <c r="G81" s="28">
        <f t="shared" si="19"/>
        <v>667.38839454183812</v>
      </c>
      <c r="H81" s="28">
        <f t="shared" si="20"/>
        <v>4178.1480588033037</v>
      </c>
      <c r="I81" s="28">
        <f t="shared" si="21"/>
        <v>4845.536453345142</v>
      </c>
    </row>
    <row r="82" spans="2:9" x14ac:dyDescent="0.25">
      <c r="B82" s="26">
        <v>2021</v>
      </c>
      <c r="C82" s="27">
        <v>1288748.2711188961</v>
      </c>
      <c r="D82" s="28">
        <f t="shared" si="22"/>
        <v>232303.99999999814</v>
      </c>
      <c r="E82" s="28">
        <f t="shared" si="18"/>
        <v>1056444.2711188979</v>
      </c>
      <c r="F82" s="27">
        <v>4893.1151305214926</v>
      </c>
      <c r="G82" s="28">
        <f t="shared" si="19"/>
        <v>910.57449132810052</v>
      </c>
      <c r="H82" s="28">
        <f t="shared" si="20"/>
        <v>3982.5406391933921</v>
      </c>
      <c r="I82" s="28">
        <f t="shared" si="21"/>
        <v>4893.1151305214926</v>
      </c>
    </row>
    <row r="83" spans="2:9" x14ac:dyDescent="0.25">
      <c r="B83" s="26">
        <v>2022</v>
      </c>
      <c r="C83" s="27">
        <v>1329857.3224403893</v>
      </c>
      <c r="D83" s="28">
        <f t="shared" si="22"/>
        <v>301102.85714285448</v>
      </c>
      <c r="E83" s="28">
        <f t="shared" si="18"/>
        <v>1028754.4652975348</v>
      </c>
      <c r="F83" s="27">
        <v>4952.0423023853336</v>
      </c>
      <c r="G83" s="28">
        <f t="shared" si="19"/>
        <v>1163.9092140203365</v>
      </c>
      <c r="H83" s="28">
        <f t="shared" si="20"/>
        <v>3788.1330883649971</v>
      </c>
      <c r="I83" s="28">
        <f t="shared" si="21"/>
        <v>4952.0423023853336</v>
      </c>
    </row>
    <row r="84" spans="2:9" x14ac:dyDescent="0.25">
      <c r="B84" s="26">
        <v>2023</v>
      </c>
      <c r="C84" s="27">
        <v>1371090.8945916586</v>
      </c>
      <c r="D84" s="28">
        <f t="shared" si="22"/>
        <v>374190.85714285448</v>
      </c>
      <c r="E84" s="28">
        <f t="shared" si="18"/>
        <v>996900.03744880413</v>
      </c>
      <c r="F84" s="27">
        <v>5022.1493287186813</v>
      </c>
      <c r="G84" s="28">
        <f t="shared" si="19"/>
        <v>1427.4552011095288</v>
      </c>
      <c r="H84" s="28">
        <f t="shared" si="20"/>
        <v>3594.6941276091529</v>
      </c>
      <c r="I84" s="28">
        <f t="shared" si="21"/>
        <v>5022.1493287186822</v>
      </c>
    </row>
    <row r="85" spans="2:9" x14ac:dyDescent="0.25">
      <c r="B85" s="26">
        <v>2024</v>
      </c>
      <c r="C85" s="27">
        <v>1412434.5035978679</v>
      </c>
      <c r="D85" s="28">
        <f t="shared" si="22"/>
        <v>451567.99999999627</v>
      </c>
      <c r="E85" s="28">
        <f t="shared" si="18"/>
        <v>960866.50359787163</v>
      </c>
      <c r="F85" s="27">
        <v>5103.1187691104178</v>
      </c>
      <c r="G85" s="28">
        <f t="shared" si="19"/>
        <v>1701.3912333377018</v>
      </c>
      <c r="H85" s="28">
        <f t="shared" si="20"/>
        <v>3401.7275357727162</v>
      </c>
      <c r="I85" s="28">
        <f t="shared" si="21"/>
        <v>5103.1187691104178</v>
      </c>
    </row>
    <row r="86" spans="2:9" x14ac:dyDescent="0.25">
      <c r="B86" s="26">
        <v>2025</v>
      </c>
      <c r="C86" s="27">
        <v>1453842.0175012546</v>
      </c>
      <c r="D86" s="28">
        <f t="shared" si="22"/>
        <v>533234.28571428172</v>
      </c>
      <c r="E86" s="28">
        <f t="shared" si="18"/>
        <v>920607.73178697284</v>
      </c>
      <c r="F86" s="27">
        <v>5195.5160642926385</v>
      </c>
      <c r="G86" s="28">
        <f t="shared" si="19"/>
        <v>1986.0960064670589</v>
      </c>
      <c r="H86" s="28">
        <f t="shared" si="20"/>
        <v>3209.4200578255795</v>
      </c>
      <c r="I86" s="28">
        <f t="shared" si="21"/>
        <v>5195.5160642926385</v>
      </c>
    </row>
    <row r="87" spans="2:9" x14ac:dyDescent="0.25">
      <c r="B87" s="26">
        <v>2026</v>
      </c>
      <c r="C87" s="27">
        <v>1495296.6218874408</v>
      </c>
      <c r="D87" s="28">
        <f t="shared" si="22"/>
        <v>619189.71428570896</v>
      </c>
      <c r="E87" s="28">
        <f t="shared" si="18"/>
        <v>876106.90760173183</v>
      </c>
      <c r="F87" s="27">
        <v>5299.0832939312513</v>
      </c>
      <c r="G87" s="28">
        <f t="shared" si="19"/>
        <v>2282.0947494158941</v>
      </c>
      <c r="H87" s="28">
        <f t="shared" si="20"/>
        <v>3016.9885445153573</v>
      </c>
      <c r="I87" s="28">
        <f t="shared" si="21"/>
        <v>5299.0832939312513</v>
      </c>
    </row>
    <row r="88" spans="2:9" x14ac:dyDescent="0.25">
      <c r="B88" s="26">
        <v>2027</v>
      </c>
      <c r="C88" s="27">
        <v>1536770.45903657</v>
      </c>
      <c r="D88" s="28">
        <f t="shared" si="22"/>
        <v>709434.28571427986</v>
      </c>
      <c r="E88" s="28">
        <f t="shared" si="18"/>
        <v>827336.17332229018</v>
      </c>
      <c r="F88" s="27">
        <v>5413.8700580907316</v>
      </c>
      <c r="G88" s="28">
        <f t="shared" si="19"/>
        <v>2590.1065752511004</v>
      </c>
      <c r="H88" s="28">
        <f t="shared" si="20"/>
        <v>2823.7634828396313</v>
      </c>
      <c r="I88" s="28">
        <f t="shared" si="21"/>
        <v>5413.8700580907316</v>
      </c>
    </row>
    <row r="89" spans="2:9" x14ac:dyDescent="0.25">
      <c r="B89" s="26">
        <v>2028</v>
      </c>
      <c r="C89" s="27">
        <v>1578233.9588539612</v>
      </c>
      <c r="D89" s="28">
        <f t="shared" si="22"/>
        <v>803967.99999999441</v>
      </c>
      <c r="E89" s="28">
        <f t="shared" si="18"/>
        <v>774265.95885396679</v>
      </c>
      <c r="F89" s="27">
        <v>5539.9656368863471</v>
      </c>
      <c r="G89" s="28">
        <f t="shared" si="19"/>
        <v>2911.0794558093999</v>
      </c>
      <c r="H89" s="28">
        <f t="shared" si="20"/>
        <v>2628.8861810769477</v>
      </c>
      <c r="I89" s="28">
        <f t="shared" si="21"/>
        <v>5539.9656368863471</v>
      </c>
    </row>
    <row r="90" spans="2:9" x14ac:dyDescent="0.25">
      <c r="B90" s="26">
        <v>2029</v>
      </c>
      <c r="C90" s="27">
        <v>1619667.6062884759</v>
      </c>
      <c r="D90" s="28">
        <f t="shared" si="22"/>
        <v>902790.85714285076</v>
      </c>
      <c r="E90" s="28">
        <f t="shared" si="18"/>
        <v>716876.74914562516</v>
      </c>
      <c r="F90" s="27">
        <v>5677.2013900999818</v>
      </c>
      <c r="G90" s="28">
        <f t="shared" si="19"/>
        <v>3246.1980100476671</v>
      </c>
      <c r="H90" s="28">
        <f t="shared" si="20"/>
        <v>2431.0033800523147</v>
      </c>
      <c r="I90" s="28">
        <f t="shared" si="21"/>
        <v>5677.2013900999818</v>
      </c>
    </row>
    <row r="91" spans="2:9" x14ac:dyDescent="0.25">
      <c r="B91" s="26">
        <v>2030</v>
      </c>
      <c r="C91" s="27">
        <v>1661026.0804002865</v>
      </c>
      <c r="D91" s="28">
        <f t="shared" si="22"/>
        <v>1005902.8571428508</v>
      </c>
      <c r="E91" s="28">
        <f t="shared" si="18"/>
        <v>655123.22325743572</v>
      </c>
      <c r="F91" s="27">
        <v>5826.0534783480334</v>
      </c>
      <c r="G91" s="28">
        <f t="shared" si="19"/>
        <v>3597.0311669466187</v>
      </c>
      <c r="H91" s="28">
        <f t="shared" si="20"/>
        <v>2229.0223114014152</v>
      </c>
      <c r="I91" s="28">
        <f t="shared" si="21"/>
        <v>5826.0534783480343</v>
      </c>
    </row>
    <row r="92" spans="2:9" x14ac:dyDescent="0.25">
      <c r="B92" t="s">
        <v>23</v>
      </c>
      <c r="C92" t="s">
        <v>24</v>
      </c>
      <c r="D92" t="s">
        <v>25</v>
      </c>
      <c r="E92" t="s">
        <v>27</v>
      </c>
    </row>
  </sheetData>
  <mergeCells count="3">
    <mergeCell ref="E4:H4"/>
    <mergeCell ref="E27:H27"/>
    <mergeCell ref="B50:K5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68E1-9481-4998-945C-5FFD56DD068D}">
  <dimension ref="A2:O97"/>
  <sheetViews>
    <sheetView zoomScale="80" zoomScaleNormal="80" workbookViewId="0"/>
  </sheetViews>
  <sheetFormatPr baseColWidth="10" defaultRowHeight="15" x14ac:dyDescent="0.25"/>
  <cols>
    <col min="2" max="4" width="18.140625" customWidth="1"/>
    <col min="5" max="5" width="20.5703125" customWidth="1"/>
    <col min="6" max="6" width="30.140625" customWidth="1"/>
    <col min="7" max="7" width="23.7109375" customWidth="1"/>
    <col min="8" max="8" width="23.28515625" customWidth="1"/>
    <col min="9" max="9" width="28" customWidth="1"/>
    <col min="10" max="10" width="23.7109375" customWidth="1"/>
    <col min="11" max="11" width="18.140625" customWidth="1"/>
    <col min="12" max="12" width="17" customWidth="1"/>
  </cols>
  <sheetData>
    <row r="2" spans="1:12" x14ac:dyDescent="0.25">
      <c r="D2">
        <v>1</v>
      </c>
    </row>
    <row r="3" spans="1:12" x14ac:dyDescent="0.25">
      <c r="I3" s="5"/>
      <c r="J3" s="13"/>
      <c r="K3" s="13"/>
      <c r="L3" s="14"/>
    </row>
    <row r="4" spans="1:12" x14ac:dyDescent="0.25">
      <c r="B4" s="32"/>
      <c r="C4" s="33"/>
      <c r="D4" s="33"/>
      <c r="E4" s="68" t="s">
        <v>10</v>
      </c>
      <c r="F4" s="68"/>
      <c r="G4" s="68"/>
      <c r="H4" s="68"/>
      <c r="I4" s="34"/>
      <c r="J4" s="13"/>
      <c r="K4" s="13"/>
      <c r="L4" s="14"/>
    </row>
    <row r="5" spans="1:12" ht="45" x14ac:dyDescent="0.25">
      <c r="B5" s="9" t="s">
        <v>0</v>
      </c>
      <c r="C5" s="9" t="s">
        <v>22</v>
      </c>
      <c r="D5" s="9" t="s">
        <v>26</v>
      </c>
      <c r="E5" s="16"/>
      <c r="F5" s="16" t="s">
        <v>5</v>
      </c>
      <c r="G5" s="16" t="s">
        <v>8</v>
      </c>
      <c r="H5" s="16" t="s">
        <v>9</v>
      </c>
      <c r="I5" s="9" t="s">
        <v>4</v>
      </c>
      <c r="J5" s="14"/>
      <c r="K5" s="15"/>
      <c r="L5" s="14"/>
    </row>
    <row r="6" spans="1:12" x14ac:dyDescent="0.25">
      <c r="B6" s="10">
        <v>2013</v>
      </c>
      <c r="C6" s="11">
        <v>1073183.6651212492</v>
      </c>
      <c r="D6" s="11">
        <f>D29*$D$2</f>
        <v>28898</v>
      </c>
      <c r="E6" s="17"/>
      <c r="F6" s="17"/>
      <c r="G6" s="18"/>
      <c r="H6" s="18"/>
      <c r="I6" s="10"/>
      <c r="J6" s="14"/>
      <c r="K6" s="6"/>
      <c r="L6" s="14"/>
    </row>
    <row r="7" spans="1:12" x14ac:dyDescent="0.25">
      <c r="B7" s="10">
        <v>2014</v>
      </c>
      <c r="C7" s="11">
        <v>976651.16433813574</v>
      </c>
      <c r="D7" s="11">
        <f t="shared" ref="D7:D23" si="0">D30*$D$2</f>
        <v>28300</v>
      </c>
      <c r="E7" s="17"/>
      <c r="F7" s="17"/>
      <c r="G7" s="18"/>
      <c r="H7" s="18"/>
      <c r="I7" s="10"/>
      <c r="J7" s="8"/>
      <c r="K7" s="6"/>
      <c r="L7" s="8"/>
    </row>
    <row r="8" spans="1:12" x14ac:dyDescent="0.25">
      <c r="B8" s="10">
        <v>2015</v>
      </c>
      <c r="C8" s="11">
        <v>1019571.4085290028</v>
      </c>
      <c r="D8" s="11">
        <f t="shared" si="0"/>
        <v>37202</v>
      </c>
      <c r="E8" s="17"/>
      <c r="F8" s="17"/>
      <c r="G8" s="18"/>
      <c r="H8" s="18"/>
      <c r="I8" s="10"/>
      <c r="J8" s="8"/>
      <c r="K8" s="6"/>
      <c r="L8" s="8"/>
    </row>
    <row r="9" spans="1:12" x14ac:dyDescent="0.25">
      <c r="B9" s="10">
        <v>2016</v>
      </c>
      <c r="C9" s="11">
        <v>1117970.6924468274</v>
      </c>
      <c r="D9" s="11">
        <f t="shared" si="0"/>
        <v>48314</v>
      </c>
      <c r="E9" s="17"/>
      <c r="F9" s="17"/>
      <c r="G9" s="18"/>
      <c r="H9" s="18"/>
      <c r="I9" s="10"/>
      <c r="J9" s="14"/>
      <c r="K9" s="6"/>
      <c r="L9" s="14"/>
    </row>
    <row r="10" spans="1:12" x14ac:dyDescent="0.25">
      <c r="B10" s="10">
        <v>2017</v>
      </c>
      <c r="C10" s="11">
        <v>1053030.9082251894</v>
      </c>
      <c r="D10" s="11">
        <f t="shared" si="0"/>
        <v>47353.142857141793</v>
      </c>
      <c r="E10" s="17"/>
      <c r="F10" s="17"/>
      <c r="G10" s="18"/>
      <c r="H10" s="18"/>
      <c r="I10" s="10"/>
      <c r="J10" s="14"/>
      <c r="K10" s="6"/>
      <c r="L10" s="14"/>
    </row>
    <row r="11" spans="1:12" x14ac:dyDescent="0.25">
      <c r="A11" s="3" t="s">
        <v>3</v>
      </c>
      <c r="B11" s="10">
        <v>2018</v>
      </c>
      <c r="C11" s="11">
        <v>1166385.7116395417</v>
      </c>
      <c r="D11" s="11">
        <f t="shared" si="0"/>
        <v>51642.285714285448</v>
      </c>
      <c r="E11" s="17"/>
      <c r="F11" s="17">
        <f>D11+F10</f>
        <v>51642.285714285448</v>
      </c>
      <c r="G11" s="17">
        <f t="shared" ref="G11:G23" si="1">D11*K57/I11</f>
        <v>191.45023229462763</v>
      </c>
      <c r="H11" s="17">
        <f>H10+G11</f>
        <v>191.45023229462763</v>
      </c>
      <c r="I11" s="12">
        <v>16.155472</v>
      </c>
      <c r="J11" s="14"/>
      <c r="K11" s="6"/>
      <c r="L11" s="14"/>
    </row>
    <row r="12" spans="1:12" x14ac:dyDescent="0.25">
      <c r="B12" s="10">
        <v>2019</v>
      </c>
      <c r="C12" s="11">
        <v>1206991.5861911501</v>
      </c>
      <c r="D12" s="11">
        <f t="shared" si="0"/>
        <v>55931.428571427241</v>
      </c>
      <c r="E12" s="17"/>
      <c r="F12" s="17">
        <f>D12+F11</f>
        <v>107573.71428571269</v>
      </c>
      <c r="G12" s="17">
        <f t="shared" si="1"/>
        <v>193.99034796795738</v>
      </c>
      <c r="H12" s="17">
        <f t="shared" ref="H12:H23" si="2">H11+G12</f>
        <v>385.440580262585</v>
      </c>
      <c r="I12" s="12">
        <v>16.750673599999999</v>
      </c>
      <c r="J12" s="14"/>
      <c r="K12" s="6"/>
      <c r="L12" s="14"/>
    </row>
    <row r="13" spans="1:12" x14ac:dyDescent="0.25">
      <c r="B13" s="10">
        <v>2020</v>
      </c>
      <c r="C13" s="11">
        <v>1247784.1313553418</v>
      </c>
      <c r="D13" s="11">
        <f t="shared" si="0"/>
        <v>60220.571428570896</v>
      </c>
      <c r="E13" s="17"/>
      <c r="F13" s="17">
        <f>D13+F12</f>
        <v>167794.28571428359</v>
      </c>
      <c r="G13" s="17">
        <f t="shared" si="1"/>
        <v>195.61516454173579</v>
      </c>
      <c r="H13" s="17">
        <f t="shared" si="2"/>
        <v>581.05574480432074</v>
      </c>
      <c r="I13" s="12">
        <v>17.3883896</v>
      </c>
      <c r="J13" s="14"/>
      <c r="K13" s="6"/>
      <c r="L13" s="14"/>
    </row>
    <row r="14" spans="1:12" x14ac:dyDescent="0.25">
      <c r="B14" s="10">
        <v>2021</v>
      </c>
      <c r="C14" s="11">
        <v>1288748.2711188961</v>
      </c>
      <c r="D14" s="11">
        <f t="shared" si="0"/>
        <v>64509.714285714552</v>
      </c>
      <c r="E14" s="17"/>
      <c r="F14" s="17">
        <f>D14+F13</f>
        <v>232303.99999999814</v>
      </c>
      <c r="G14" s="17">
        <f t="shared" si="1"/>
        <v>195.58145319410553</v>
      </c>
      <c r="H14" s="17">
        <f t="shared" si="2"/>
        <v>776.63719799842625</v>
      </c>
      <c r="I14" s="12">
        <v>18.153648800000003</v>
      </c>
      <c r="J14" s="14"/>
      <c r="K14" s="6"/>
      <c r="L14" s="14"/>
    </row>
    <row r="15" spans="1:12" x14ac:dyDescent="0.25">
      <c r="B15" s="10">
        <v>2022</v>
      </c>
      <c r="C15" s="11">
        <v>1329857.3224403893</v>
      </c>
      <c r="D15" s="11">
        <f t="shared" si="0"/>
        <v>68798.857142856345</v>
      </c>
      <c r="E15" s="17"/>
      <c r="F15" s="17">
        <f>D15+F14</f>
        <v>301102.85714285448</v>
      </c>
      <c r="G15" s="17">
        <f t="shared" si="1"/>
        <v>194.62740748046724</v>
      </c>
      <c r="H15" s="17">
        <f t="shared" si="2"/>
        <v>971.26460547889349</v>
      </c>
      <c r="I15" s="12">
        <v>19.003936800000002</v>
      </c>
      <c r="J15" s="14"/>
      <c r="K15" s="6"/>
      <c r="L15" s="14"/>
    </row>
    <row r="16" spans="1:12" x14ac:dyDescent="0.25">
      <c r="B16" s="10">
        <v>2023</v>
      </c>
      <c r="C16" s="11">
        <v>1371090.8945916586</v>
      </c>
      <c r="D16" s="11">
        <f t="shared" si="0"/>
        <v>73088</v>
      </c>
      <c r="E16" s="17"/>
      <c r="F16" s="17">
        <f t="shared" ref="F16:F23" si="3">D16+F15</f>
        <v>374190.85714285448</v>
      </c>
      <c r="G16" s="17">
        <f t="shared" si="1"/>
        <v>193.38703557526682</v>
      </c>
      <c r="H16" s="17">
        <f t="shared" si="2"/>
        <v>1164.6516410541603</v>
      </c>
      <c r="I16" s="12">
        <v>19.896739199999999</v>
      </c>
      <c r="J16" s="14"/>
      <c r="K16" s="6"/>
      <c r="L16" s="14"/>
    </row>
    <row r="17" spans="2:12" x14ac:dyDescent="0.25">
      <c r="B17" s="10">
        <v>2024</v>
      </c>
      <c r="C17" s="11">
        <v>1412434.5035978679</v>
      </c>
      <c r="D17" s="11">
        <f t="shared" si="0"/>
        <v>77377.142857141793</v>
      </c>
      <c r="E17" s="17"/>
      <c r="F17" s="17">
        <f t="shared" si="3"/>
        <v>451567.99999999627</v>
      </c>
      <c r="G17" s="17">
        <f t="shared" si="1"/>
        <v>191.98614243986881</v>
      </c>
      <c r="H17" s="17">
        <f t="shared" si="2"/>
        <v>1356.6377834940292</v>
      </c>
      <c r="I17" s="12">
        <v>20.832056000000001</v>
      </c>
      <c r="J17" s="14"/>
      <c r="K17" s="6"/>
      <c r="L17" s="14"/>
    </row>
    <row r="18" spans="2:12" x14ac:dyDescent="0.25">
      <c r="B18" s="10">
        <v>2025</v>
      </c>
      <c r="C18" s="11">
        <v>1453842.0175012546</v>
      </c>
      <c r="D18" s="11">
        <f t="shared" si="0"/>
        <v>81666.285714285448</v>
      </c>
      <c r="E18" s="17"/>
      <c r="F18" s="17">
        <f t="shared" si="3"/>
        <v>533234.28571428172</v>
      </c>
      <c r="G18" s="17">
        <f t="shared" si="1"/>
        <v>190.5873996307792</v>
      </c>
      <c r="H18" s="17">
        <f t="shared" si="2"/>
        <v>1547.2251831248084</v>
      </c>
      <c r="I18" s="12">
        <v>21.809887199999999</v>
      </c>
      <c r="J18" s="14"/>
      <c r="K18" s="6"/>
      <c r="L18" s="14"/>
    </row>
    <row r="19" spans="2:12" x14ac:dyDescent="0.25">
      <c r="B19" s="10">
        <v>2026</v>
      </c>
      <c r="C19" s="11">
        <v>1495296.6218874408</v>
      </c>
      <c r="D19" s="11">
        <f t="shared" si="0"/>
        <v>85955.428571427241</v>
      </c>
      <c r="E19" s="17"/>
      <c r="F19" s="17">
        <f t="shared" si="3"/>
        <v>619189.71428570896</v>
      </c>
      <c r="G19" s="17">
        <f t="shared" si="1"/>
        <v>198.14782201409068</v>
      </c>
      <c r="H19" s="17">
        <f t="shared" si="2"/>
        <v>1745.3730051388991</v>
      </c>
      <c r="I19" s="12">
        <v>21.809887199999999</v>
      </c>
      <c r="J19" s="14"/>
      <c r="K19" s="6"/>
      <c r="L19" s="14"/>
    </row>
    <row r="20" spans="2:12" x14ac:dyDescent="0.25">
      <c r="B20" s="10">
        <v>2027</v>
      </c>
      <c r="C20" s="11">
        <v>1536770.45903657</v>
      </c>
      <c r="D20" s="11">
        <f t="shared" si="0"/>
        <v>90244.571428570896</v>
      </c>
      <c r="E20" s="17"/>
      <c r="F20" s="17">
        <f t="shared" si="3"/>
        <v>709434.28571427986</v>
      </c>
      <c r="G20" s="17">
        <f t="shared" si="1"/>
        <v>206.18963390117906</v>
      </c>
      <c r="H20" s="17">
        <f t="shared" si="2"/>
        <v>1951.5626390400782</v>
      </c>
      <c r="I20" s="12">
        <v>21.809887199999999</v>
      </c>
      <c r="J20" s="14"/>
      <c r="K20" s="6"/>
      <c r="L20" s="14"/>
    </row>
    <row r="21" spans="2:12" x14ac:dyDescent="0.25">
      <c r="B21" s="10">
        <v>2028</v>
      </c>
      <c r="C21" s="11">
        <v>1578233.9588539612</v>
      </c>
      <c r="D21" s="11">
        <f t="shared" si="0"/>
        <v>94533.714285714552</v>
      </c>
      <c r="E21" s="17"/>
      <c r="F21" s="17">
        <f t="shared" si="3"/>
        <v>803967.99999999441</v>
      </c>
      <c r="G21" s="17">
        <f t="shared" si="1"/>
        <v>214.86603819533605</v>
      </c>
      <c r="H21" s="17">
        <f t="shared" si="2"/>
        <v>2166.4286772354144</v>
      </c>
      <c r="I21" s="12">
        <v>21.809887199999999</v>
      </c>
      <c r="J21" s="14"/>
      <c r="K21" s="6"/>
      <c r="L21" s="14"/>
    </row>
    <row r="22" spans="2:12" x14ac:dyDescent="0.25">
      <c r="B22" s="10">
        <v>2029</v>
      </c>
      <c r="C22" s="11">
        <v>1619667.6062884759</v>
      </c>
      <c r="D22" s="11">
        <f t="shared" si="0"/>
        <v>98822.857142856345</v>
      </c>
      <c r="E22" s="17"/>
      <c r="F22" s="17">
        <f t="shared" si="3"/>
        <v>902790.85714285076</v>
      </c>
      <c r="G22" s="17">
        <f t="shared" si="1"/>
        <v>224.33545148636534</v>
      </c>
      <c r="H22" s="17">
        <f t="shared" si="2"/>
        <v>2390.7641287217798</v>
      </c>
      <c r="I22" s="12">
        <v>21.809887199999999</v>
      </c>
      <c r="J22" s="14"/>
      <c r="K22" s="6"/>
      <c r="L22" s="14"/>
    </row>
    <row r="23" spans="2:12" x14ac:dyDescent="0.25">
      <c r="B23" s="10">
        <v>2030</v>
      </c>
      <c r="C23" s="11">
        <v>1661026.0804002865</v>
      </c>
      <c r="D23" s="11">
        <f t="shared" si="0"/>
        <v>103112</v>
      </c>
      <c r="E23" s="17"/>
      <c r="F23" s="17">
        <f t="shared" si="3"/>
        <v>1005902.8571428508</v>
      </c>
      <c r="G23" s="17">
        <f t="shared" si="1"/>
        <v>234.85513903642246</v>
      </c>
      <c r="H23" s="17">
        <f t="shared" si="2"/>
        <v>2625.6192677582021</v>
      </c>
      <c r="I23" s="12">
        <v>21.809887199999999</v>
      </c>
      <c r="J23" s="14"/>
      <c r="K23" s="6"/>
      <c r="L23" s="14"/>
    </row>
    <row r="24" spans="2:12" x14ac:dyDescent="0.25">
      <c r="B24" t="s">
        <v>23</v>
      </c>
      <c r="C24" t="s">
        <v>24</v>
      </c>
      <c r="D24" t="s">
        <v>25</v>
      </c>
      <c r="E24" t="s">
        <v>27</v>
      </c>
      <c r="F24" s="5"/>
      <c r="I24" s="5"/>
      <c r="J24" s="5"/>
      <c r="K24" s="5"/>
    </row>
    <row r="25" spans="2:12" x14ac:dyDescent="0.25">
      <c r="B25" t="s">
        <v>32</v>
      </c>
      <c r="F25" s="5"/>
      <c r="I25" s="5"/>
      <c r="J25" s="5"/>
      <c r="K25" s="5"/>
    </row>
    <row r="26" spans="2:12" x14ac:dyDescent="0.25">
      <c r="F26" s="5"/>
      <c r="I26" s="5"/>
      <c r="J26" s="5"/>
      <c r="K26" s="5"/>
    </row>
    <row r="27" spans="2:12" x14ac:dyDescent="0.25">
      <c r="B27" s="32"/>
      <c r="C27" s="33"/>
      <c r="D27" s="33"/>
      <c r="E27" s="68" t="s">
        <v>11</v>
      </c>
      <c r="F27" s="68"/>
      <c r="G27" s="68"/>
      <c r="H27" s="68"/>
      <c r="I27" s="34"/>
      <c r="J27" s="5"/>
      <c r="K27" s="5"/>
    </row>
    <row r="28" spans="2:12" ht="30" x14ac:dyDescent="0.25">
      <c r="B28" s="9" t="s">
        <v>0</v>
      </c>
      <c r="C28" s="30" t="s">
        <v>2</v>
      </c>
      <c r="D28" s="30" t="s">
        <v>2</v>
      </c>
      <c r="E28" s="16"/>
      <c r="F28" s="16" t="s">
        <v>6</v>
      </c>
      <c r="G28" s="16" t="s">
        <v>7</v>
      </c>
      <c r="H28" s="16"/>
      <c r="I28" s="9" t="s">
        <v>4</v>
      </c>
      <c r="J28" s="5"/>
      <c r="K28" s="5"/>
    </row>
    <row r="29" spans="2:12" x14ac:dyDescent="0.25">
      <c r="B29" s="10">
        <v>2013</v>
      </c>
      <c r="C29" s="29">
        <v>28898</v>
      </c>
      <c r="D29" s="29">
        <v>28898</v>
      </c>
      <c r="E29" s="17"/>
      <c r="F29" s="17">
        <f>C6</f>
        <v>1073183.6651212492</v>
      </c>
      <c r="G29" s="17">
        <f>F29*K52/I29</f>
        <v>4488.9048500498293</v>
      </c>
      <c r="H29" s="17"/>
      <c r="I29" s="12">
        <v>14.6</v>
      </c>
      <c r="J29" s="5"/>
      <c r="K29" s="5" t="s">
        <v>21</v>
      </c>
    </row>
    <row r="30" spans="2:12" x14ac:dyDescent="0.25">
      <c r="B30" s="10">
        <v>2014</v>
      </c>
      <c r="C30" s="29">
        <v>28300</v>
      </c>
      <c r="D30" s="29">
        <v>28300</v>
      </c>
      <c r="E30" s="17"/>
      <c r="F30" s="17">
        <f t="shared" ref="F30:F33" si="4">C7</f>
        <v>976651.16433813574</v>
      </c>
      <c r="G30" s="17">
        <f t="shared" ref="G30:G46" si="5">F30*K53/I30</f>
        <v>4409.1759291458893</v>
      </c>
      <c r="H30" s="17"/>
      <c r="I30" s="12">
        <v>14.6</v>
      </c>
    </row>
    <row r="31" spans="2:12" x14ac:dyDescent="0.25">
      <c r="B31" s="10">
        <v>2015</v>
      </c>
      <c r="C31" s="29">
        <v>37202</v>
      </c>
      <c r="D31" s="29">
        <v>37202</v>
      </c>
      <c r="E31" s="17"/>
      <c r="F31" s="17">
        <f t="shared" si="4"/>
        <v>1019571.4085290028</v>
      </c>
      <c r="G31" s="17">
        <f t="shared" si="5"/>
        <v>4697.8044143992256</v>
      </c>
      <c r="H31" s="17"/>
      <c r="I31" s="12">
        <v>14.6</v>
      </c>
    </row>
    <row r="32" spans="2:12" x14ac:dyDescent="0.25">
      <c r="B32" s="10">
        <v>2016</v>
      </c>
      <c r="C32" s="29">
        <v>48314</v>
      </c>
      <c r="D32" s="29">
        <v>48314</v>
      </c>
      <c r="E32" s="17"/>
      <c r="F32" s="17">
        <f t="shared" si="4"/>
        <v>1117970.6924468274</v>
      </c>
      <c r="G32" s="17">
        <f t="shared" si="5"/>
        <v>4861.0155688288969</v>
      </c>
      <c r="H32" s="17"/>
      <c r="I32" s="12">
        <v>14.6</v>
      </c>
    </row>
    <row r="33" spans="1:9" x14ac:dyDescent="0.25">
      <c r="B33" s="10">
        <v>2017</v>
      </c>
      <c r="C33" s="29">
        <v>47353.142857141793</v>
      </c>
      <c r="D33" s="29">
        <v>47353.142857141793</v>
      </c>
      <c r="E33" s="17"/>
      <c r="F33" s="17">
        <f t="shared" si="4"/>
        <v>1053030.9082251894</v>
      </c>
      <c r="G33" s="17">
        <f t="shared" si="5"/>
        <v>4774.6817019902837</v>
      </c>
      <c r="H33" s="17"/>
      <c r="I33" s="12">
        <v>14.6</v>
      </c>
    </row>
    <row r="34" spans="1:9" x14ac:dyDescent="0.25">
      <c r="A34" s="3" t="s">
        <v>3</v>
      </c>
      <c r="B34" s="10">
        <v>2018</v>
      </c>
      <c r="C34" s="29">
        <v>51642.285714285448</v>
      </c>
      <c r="D34" s="29">
        <v>51642.285714285448</v>
      </c>
      <c r="E34" s="17"/>
      <c r="F34" s="17">
        <f t="shared" ref="F34:F46" si="6">C11-F11</f>
        <v>1114743.4259252562</v>
      </c>
      <c r="G34" s="17">
        <f t="shared" si="5"/>
        <v>4572.9047607923612</v>
      </c>
      <c r="H34" s="17"/>
      <c r="I34" s="12">
        <v>14.6</v>
      </c>
    </row>
    <row r="35" spans="1:9" x14ac:dyDescent="0.25">
      <c r="B35" s="10">
        <v>2019</v>
      </c>
      <c r="C35" s="29">
        <v>55931.428571427241</v>
      </c>
      <c r="D35" s="29">
        <v>55931.428571427241</v>
      </c>
      <c r="E35" s="17"/>
      <c r="F35" s="17">
        <f t="shared" si="6"/>
        <v>1099417.8719054374</v>
      </c>
      <c r="G35" s="17">
        <f t="shared" si="5"/>
        <v>4374.8827982689982</v>
      </c>
      <c r="H35" s="17"/>
      <c r="I35" s="12">
        <v>14.6</v>
      </c>
    </row>
    <row r="36" spans="1:9" x14ac:dyDescent="0.25">
      <c r="B36" s="10">
        <v>2020</v>
      </c>
      <c r="C36" s="29">
        <v>60220.571428570896</v>
      </c>
      <c r="D36" s="29">
        <v>60220.571428570896</v>
      </c>
      <c r="E36" s="17"/>
      <c r="F36" s="17">
        <f t="shared" si="6"/>
        <v>1079989.8456410582</v>
      </c>
      <c r="G36" s="17">
        <f t="shared" si="5"/>
        <v>4178.1480588033037</v>
      </c>
      <c r="H36" s="17"/>
      <c r="I36" s="12">
        <v>14.6</v>
      </c>
    </row>
    <row r="37" spans="1:9" x14ac:dyDescent="0.25">
      <c r="B37" s="10">
        <v>2021</v>
      </c>
      <c r="C37" s="29">
        <v>64509.714285714552</v>
      </c>
      <c r="D37" s="29">
        <v>64509.714285714552</v>
      </c>
      <c r="E37" s="17"/>
      <c r="F37" s="17">
        <f t="shared" si="6"/>
        <v>1056444.2711188979</v>
      </c>
      <c r="G37" s="17">
        <f t="shared" si="5"/>
        <v>3982.5406391933921</v>
      </c>
      <c r="H37" s="17"/>
      <c r="I37" s="12">
        <v>14.6</v>
      </c>
    </row>
    <row r="38" spans="1:9" x14ac:dyDescent="0.25">
      <c r="B38" s="10">
        <v>2022</v>
      </c>
      <c r="C38" s="29">
        <v>68798.857142856345</v>
      </c>
      <c r="D38" s="29">
        <v>68798.857142856345</v>
      </c>
      <c r="E38" s="17"/>
      <c r="F38" s="17">
        <f t="shared" si="6"/>
        <v>1028754.4652975348</v>
      </c>
      <c r="G38" s="17">
        <f t="shared" si="5"/>
        <v>3788.1330883649971</v>
      </c>
      <c r="H38" s="17"/>
      <c r="I38" s="12">
        <v>14.6</v>
      </c>
    </row>
    <row r="39" spans="1:9" x14ac:dyDescent="0.25">
      <c r="B39" s="10">
        <v>2023</v>
      </c>
      <c r="C39" s="29">
        <v>73088</v>
      </c>
      <c r="D39" s="29">
        <v>73088</v>
      </c>
      <c r="E39" s="17"/>
      <c r="F39" s="17">
        <f t="shared" si="6"/>
        <v>996900.03744880413</v>
      </c>
      <c r="G39" s="17">
        <f t="shared" si="5"/>
        <v>3594.6941276091529</v>
      </c>
      <c r="H39" s="17"/>
      <c r="I39" s="12">
        <v>14.6</v>
      </c>
    </row>
    <row r="40" spans="1:9" x14ac:dyDescent="0.25">
      <c r="B40" s="10">
        <v>2024</v>
      </c>
      <c r="C40" s="29">
        <v>77377.142857141793</v>
      </c>
      <c r="D40" s="29">
        <v>77377.142857141793</v>
      </c>
      <c r="E40" s="17"/>
      <c r="F40" s="17">
        <f t="shared" si="6"/>
        <v>960866.50359787163</v>
      </c>
      <c r="G40" s="17">
        <f t="shared" si="5"/>
        <v>3401.7275357727162</v>
      </c>
      <c r="H40" s="17"/>
      <c r="I40" s="12">
        <v>14.6</v>
      </c>
    </row>
    <row r="41" spans="1:9" x14ac:dyDescent="0.25">
      <c r="B41" s="10">
        <v>2025</v>
      </c>
      <c r="C41" s="29">
        <v>81666.285714285448</v>
      </c>
      <c r="D41" s="29">
        <v>81666.285714285448</v>
      </c>
      <c r="E41" s="17"/>
      <c r="F41" s="17">
        <f t="shared" si="6"/>
        <v>920607.73178697284</v>
      </c>
      <c r="G41" s="17">
        <f t="shared" si="5"/>
        <v>3209.4200578255795</v>
      </c>
      <c r="H41" s="17"/>
      <c r="I41" s="12">
        <v>14.6</v>
      </c>
    </row>
    <row r="42" spans="1:9" x14ac:dyDescent="0.25">
      <c r="B42" s="10">
        <v>2026</v>
      </c>
      <c r="C42" s="29">
        <v>85955.428571427241</v>
      </c>
      <c r="D42" s="29">
        <v>85955.428571427241</v>
      </c>
      <c r="E42" s="17"/>
      <c r="F42" s="17">
        <f t="shared" si="6"/>
        <v>876106.90760173183</v>
      </c>
      <c r="G42" s="17">
        <f t="shared" si="5"/>
        <v>3016.9885445153573</v>
      </c>
      <c r="H42" s="17"/>
      <c r="I42" s="12">
        <v>14.6</v>
      </c>
    </row>
    <row r="43" spans="1:9" x14ac:dyDescent="0.25">
      <c r="B43" s="10">
        <v>2027</v>
      </c>
      <c r="C43" s="29">
        <v>90244.571428570896</v>
      </c>
      <c r="D43" s="29">
        <v>90244.571428570896</v>
      </c>
      <c r="E43" s="17"/>
      <c r="F43" s="17">
        <f t="shared" si="6"/>
        <v>827336.17332229018</v>
      </c>
      <c r="G43" s="17">
        <f t="shared" si="5"/>
        <v>2823.7634828396313</v>
      </c>
      <c r="H43" s="17"/>
      <c r="I43" s="12">
        <v>14.6</v>
      </c>
    </row>
    <row r="44" spans="1:9" x14ac:dyDescent="0.25">
      <c r="B44" s="10">
        <v>2028</v>
      </c>
      <c r="C44" s="29">
        <v>94533.714285714552</v>
      </c>
      <c r="D44" s="29">
        <v>94533.714285714552</v>
      </c>
      <c r="E44" s="17"/>
      <c r="F44" s="17">
        <f t="shared" si="6"/>
        <v>774265.95885396679</v>
      </c>
      <c r="G44" s="17">
        <f t="shared" si="5"/>
        <v>2628.8861810769477</v>
      </c>
      <c r="H44" s="17"/>
      <c r="I44" s="12">
        <v>14.6</v>
      </c>
    </row>
    <row r="45" spans="1:9" x14ac:dyDescent="0.25">
      <c r="B45" s="10">
        <v>2029</v>
      </c>
      <c r="C45" s="29">
        <v>98822.857142856345</v>
      </c>
      <c r="D45" s="29">
        <v>98822.857142856345</v>
      </c>
      <c r="E45" s="17"/>
      <c r="F45" s="17">
        <f t="shared" si="6"/>
        <v>716876.74914562516</v>
      </c>
      <c r="G45" s="17">
        <f t="shared" si="5"/>
        <v>2431.0033800523147</v>
      </c>
      <c r="H45" s="17"/>
      <c r="I45" s="12">
        <v>14.6</v>
      </c>
    </row>
    <row r="46" spans="1:9" x14ac:dyDescent="0.25">
      <c r="B46" s="10">
        <v>2030</v>
      </c>
      <c r="C46" s="29">
        <v>103112</v>
      </c>
      <c r="D46" s="29">
        <v>103112</v>
      </c>
      <c r="E46" s="17"/>
      <c r="F46" s="17">
        <f t="shared" si="6"/>
        <v>655123.22325743572</v>
      </c>
      <c r="G46" s="17">
        <f t="shared" si="5"/>
        <v>2229.0223114014152</v>
      </c>
      <c r="H46" s="17"/>
      <c r="I46" s="12">
        <v>14.6</v>
      </c>
    </row>
    <row r="50" spans="1:15" x14ac:dyDescent="0.25">
      <c r="B50" s="68" t="s">
        <v>13</v>
      </c>
      <c r="C50" s="68"/>
      <c r="D50" s="68"/>
      <c r="E50" s="68"/>
      <c r="F50" s="68"/>
      <c r="G50" s="68"/>
      <c r="H50" s="68"/>
      <c r="I50" s="68"/>
      <c r="J50" s="68"/>
      <c r="K50" s="68"/>
    </row>
    <row r="51" spans="1:15" ht="54" x14ac:dyDescent="0.25">
      <c r="B51" s="9" t="s">
        <v>0</v>
      </c>
      <c r="C51" s="19" t="s">
        <v>30</v>
      </c>
      <c r="D51" s="9" t="s">
        <v>1</v>
      </c>
      <c r="E51" s="16" t="s">
        <v>6</v>
      </c>
      <c r="F51" s="16" t="s">
        <v>19</v>
      </c>
      <c r="G51" s="9" t="s">
        <v>14</v>
      </c>
      <c r="H51" s="9" t="s">
        <v>15</v>
      </c>
      <c r="I51" s="16" t="s">
        <v>18</v>
      </c>
      <c r="J51" s="16" t="s">
        <v>16</v>
      </c>
      <c r="K51" s="16" t="s">
        <v>12</v>
      </c>
    </row>
    <row r="52" spans="1:15" x14ac:dyDescent="0.25">
      <c r="B52" s="10">
        <v>2013</v>
      </c>
      <c r="C52" s="11">
        <v>4488.9048500498293</v>
      </c>
      <c r="D52" s="11">
        <v>1073183.6651212492</v>
      </c>
      <c r="E52" s="17">
        <f>F29</f>
        <v>1073183.6651212492</v>
      </c>
      <c r="F52" s="17"/>
      <c r="G52" s="21">
        <v>14.6</v>
      </c>
      <c r="H52" s="21"/>
      <c r="I52" s="17"/>
      <c r="J52" s="17"/>
      <c r="K52" s="31">
        <v>6.1068774097789651E-2</v>
      </c>
    </row>
    <row r="53" spans="1:15" x14ac:dyDescent="0.25">
      <c r="B53" s="10">
        <v>2014</v>
      </c>
      <c r="C53" s="11">
        <v>4409.1759291458902</v>
      </c>
      <c r="D53" s="11">
        <v>976651.16433813574</v>
      </c>
      <c r="E53" s="17">
        <f t="shared" ref="E53:E69" si="7">F30</f>
        <v>976651.16433813574</v>
      </c>
      <c r="F53" s="17"/>
      <c r="G53" s="21">
        <v>14.6</v>
      </c>
      <c r="H53" s="21"/>
      <c r="I53" s="17"/>
      <c r="J53" s="17"/>
      <c r="K53" s="31">
        <v>6.5912959423086767E-2</v>
      </c>
    </row>
    <row r="54" spans="1:15" x14ac:dyDescent="0.25">
      <c r="B54" s="10">
        <v>2015</v>
      </c>
      <c r="C54" s="11">
        <v>4697.8044143992256</v>
      </c>
      <c r="D54" s="11">
        <v>1019571.4085290028</v>
      </c>
      <c r="E54" s="17">
        <f t="shared" si="7"/>
        <v>1019571.4085290028</v>
      </c>
      <c r="F54" s="17"/>
      <c r="G54" s="21">
        <v>14.6</v>
      </c>
      <c r="H54" s="21"/>
      <c r="I54" s="17"/>
      <c r="J54" s="17"/>
      <c r="K54" s="31">
        <v>6.7271349389038532E-2</v>
      </c>
    </row>
    <row r="55" spans="1:15" x14ac:dyDescent="0.25">
      <c r="B55" s="10">
        <v>2016</v>
      </c>
      <c r="C55" s="11">
        <v>4861.015568828896</v>
      </c>
      <c r="D55" s="11">
        <v>1117970.6924468274</v>
      </c>
      <c r="E55" s="17">
        <f t="shared" si="7"/>
        <v>1117970.6924468274</v>
      </c>
      <c r="F55" s="17"/>
      <c r="G55" s="21">
        <v>14.6</v>
      </c>
      <c r="H55" s="21"/>
      <c r="I55" s="17"/>
      <c r="J55" s="17"/>
      <c r="K55" s="31">
        <v>6.3481831665526761E-2</v>
      </c>
    </row>
    <row r="56" spans="1:15" x14ac:dyDescent="0.25">
      <c r="B56" s="10">
        <v>2017</v>
      </c>
      <c r="C56" s="11">
        <v>4774.6817019902828</v>
      </c>
      <c r="D56" s="11">
        <v>1053030.9082251894</v>
      </c>
      <c r="E56" s="17">
        <f t="shared" si="7"/>
        <v>1053030.9082251894</v>
      </c>
      <c r="F56" s="17"/>
      <c r="G56" s="21">
        <v>14.6</v>
      </c>
      <c r="H56" s="21">
        <v>14.6</v>
      </c>
      <c r="I56" s="17">
        <f>F56*K56/H56</f>
        <v>0</v>
      </c>
      <c r="J56" s="17"/>
      <c r="K56" s="31">
        <v>6.6199721493977889E-2</v>
      </c>
    </row>
    <row r="57" spans="1:15" x14ac:dyDescent="0.25">
      <c r="A57" s="3" t="s">
        <v>3</v>
      </c>
      <c r="B57" s="10">
        <v>2018</v>
      </c>
      <c r="C57" s="11">
        <v>4784.7519434793039</v>
      </c>
      <c r="D57" s="11">
        <v>1166385.7116395417</v>
      </c>
      <c r="E57" s="17">
        <f t="shared" si="7"/>
        <v>1114743.4259252562</v>
      </c>
      <c r="F57" s="17">
        <f>D11</f>
        <v>51642.285714285448</v>
      </c>
      <c r="G57" s="21">
        <v>14.6</v>
      </c>
      <c r="H57" s="21">
        <v>16.155472</v>
      </c>
      <c r="I57" s="17">
        <f t="shared" ref="I57:I69" si="8">F57*K57/H57</f>
        <v>191.45023229462763</v>
      </c>
      <c r="J57" s="20">
        <f>J56+I56</f>
        <v>0</v>
      </c>
      <c r="K57" s="22">
        <v>5.9892176042350614E-2</v>
      </c>
      <c r="L57" s="2">
        <f t="shared" ref="L57:L65" si="9">E57*K57/G57</f>
        <v>4572.9047607923612</v>
      </c>
      <c r="M57" s="2">
        <f t="shared" ref="M57:M65" si="10">F57*K57/H57</f>
        <v>191.45023229462763</v>
      </c>
      <c r="N57" s="2">
        <f>L57+SUM($M$57:M57)</f>
        <v>4764.3549930869885</v>
      </c>
      <c r="O57" s="2">
        <f>N57-L57</f>
        <v>191.45023229462731</v>
      </c>
    </row>
    <row r="58" spans="1:15" x14ac:dyDescent="0.25">
      <c r="B58" s="10">
        <v>2019</v>
      </c>
      <c r="C58" s="11">
        <v>4809.2963508437269</v>
      </c>
      <c r="D58" s="11">
        <v>1206991.5861911501</v>
      </c>
      <c r="E58" s="17">
        <f t="shared" si="7"/>
        <v>1099417.8719054374</v>
      </c>
      <c r="F58" s="17">
        <f t="shared" ref="F58:F69" si="11">D12</f>
        <v>55931.428571427241</v>
      </c>
      <c r="G58" s="21">
        <v>14.6</v>
      </c>
      <c r="H58" s="21">
        <v>16.750673599999999</v>
      </c>
      <c r="I58" s="17">
        <f t="shared" si="8"/>
        <v>193.99034796795738</v>
      </c>
      <c r="J58" s="20">
        <f t="shared" ref="J58:J69" si="12">J57+I57</f>
        <v>191.45023229462763</v>
      </c>
      <c r="K58" s="22">
        <v>5.8097371788241418E-2</v>
      </c>
      <c r="L58" s="2">
        <f t="shared" si="9"/>
        <v>4374.8827982689982</v>
      </c>
      <c r="M58" s="2">
        <f t="shared" si="10"/>
        <v>193.99034796795738</v>
      </c>
      <c r="N58" s="2">
        <f>L58+SUM($M$57:M58)</f>
        <v>4760.3233785315833</v>
      </c>
      <c r="O58" s="2">
        <f t="shared" ref="O58:O69" si="13">N58-L58</f>
        <v>385.44058026258517</v>
      </c>
    </row>
    <row r="59" spans="1:15" s="14" customFormat="1" x14ac:dyDescent="0.25">
      <c r="B59" s="10">
        <v>2020</v>
      </c>
      <c r="C59" s="11">
        <v>4845.536453345142</v>
      </c>
      <c r="D59" s="11">
        <v>1247784.1313553418</v>
      </c>
      <c r="E59" s="17">
        <f t="shared" si="7"/>
        <v>1079989.8456410582</v>
      </c>
      <c r="F59" s="17">
        <f t="shared" si="11"/>
        <v>60220.571428570896</v>
      </c>
      <c r="G59" s="21">
        <v>14.6</v>
      </c>
      <c r="H59" s="21">
        <v>17.3883896</v>
      </c>
      <c r="I59" s="17">
        <f t="shared" si="8"/>
        <v>195.61516454173579</v>
      </c>
      <c r="J59" s="20">
        <f t="shared" si="12"/>
        <v>385.440580262585</v>
      </c>
      <c r="K59" s="22">
        <v>5.6482902968702828E-2</v>
      </c>
      <c r="L59" s="8">
        <f t="shared" si="9"/>
        <v>4178.1480588033037</v>
      </c>
      <c r="M59" s="8">
        <f t="shared" si="10"/>
        <v>195.61516454173579</v>
      </c>
      <c r="N59" s="8">
        <f>L59+SUM($M$57:M59)</f>
        <v>4759.2038036076246</v>
      </c>
      <c r="O59" s="8">
        <f t="shared" si="13"/>
        <v>581.05574480432097</v>
      </c>
    </row>
    <row r="60" spans="1:15" x14ac:dyDescent="0.25">
      <c r="B60" s="10">
        <v>2021</v>
      </c>
      <c r="C60" s="11">
        <v>4893.1151305214926</v>
      </c>
      <c r="D60" s="11">
        <v>1288748.2711188961</v>
      </c>
      <c r="E60" s="17">
        <f t="shared" si="7"/>
        <v>1056444.2711188979</v>
      </c>
      <c r="F60" s="17">
        <f t="shared" si="11"/>
        <v>64509.714285714552</v>
      </c>
      <c r="G60" s="21">
        <v>14.6</v>
      </c>
      <c r="H60" s="21">
        <v>18.153648800000003</v>
      </c>
      <c r="I60" s="17">
        <f t="shared" si="8"/>
        <v>195.58145319410553</v>
      </c>
      <c r="J60" s="20">
        <f t="shared" si="12"/>
        <v>581.05574480432074</v>
      </c>
      <c r="K60" s="22">
        <v>5.5038486100777537E-2</v>
      </c>
      <c r="L60" s="2">
        <f t="shared" si="9"/>
        <v>3982.5406391933921</v>
      </c>
      <c r="M60" s="2">
        <f t="shared" si="10"/>
        <v>195.58145319410553</v>
      </c>
      <c r="N60" s="2">
        <f>L60+SUM($M$57:M60)</f>
        <v>4759.1778371918181</v>
      </c>
      <c r="O60" s="2">
        <f t="shared" si="13"/>
        <v>776.63719799842602</v>
      </c>
    </row>
    <row r="61" spans="1:15" x14ac:dyDescent="0.25">
      <c r="B61" s="10">
        <v>2022</v>
      </c>
      <c r="C61" s="11">
        <v>4952.0423023853336</v>
      </c>
      <c r="D61" s="11">
        <v>1329857.3224403893</v>
      </c>
      <c r="E61" s="17">
        <f t="shared" si="7"/>
        <v>1028754.4652975348</v>
      </c>
      <c r="F61" s="17">
        <f t="shared" si="11"/>
        <v>68798.857142856345</v>
      </c>
      <c r="G61" s="21">
        <v>14.6</v>
      </c>
      <c r="H61" s="21">
        <v>19.003936800000002</v>
      </c>
      <c r="I61" s="17">
        <f t="shared" si="8"/>
        <v>194.62740748046724</v>
      </c>
      <c r="J61" s="20">
        <f t="shared" si="12"/>
        <v>776.63719799842625</v>
      </c>
      <c r="K61" s="22">
        <v>5.3760877795201813E-2</v>
      </c>
      <c r="L61" s="2">
        <f t="shared" si="9"/>
        <v>3788.1330883649971</v>
      </c>
      <c r="M61" s="2">
        <f t="shared" si="10"/>
        <v>194.62740748046724</v>
      </c>
      <c r="N61" s="2">
        <f>L61+SUM($M$57:M61)</f>
        <v>4759.3976938438909</v>
      </c>
      <c r="O61" s="2">
        <f t="shared" si="13"/>
        <v>971.26460547889383</v>
      </c>
    </row>
    <row r="62" spans="1:15" x14ac:dyDescent="0.25">
      <c r="B62" s="10">
        <v>2023</v>
      </c>
      <c r="C62" s="11">
        <v>5022.1493287186813</v>
      </c>
      <c r="D62" s="11">
        <v>1371090.8945916586</v>
      </c>
      <c r="E62" s="17">
        <f t="shared" si="7"/>
        <v>996900.03744880413</v>
      </c>
      <c r="F62" s="17">
        <f t="shared" si="11"/>
        <v>73088</v>
      </c>
      <c r="G62" s="21">
        <v>14.6</v>
      </c>
      <c r="H62" s="21">
        <v>19.896739199999999</v>
      </c>
      <c r="I62" s="17">
        <f t="shared" si="8"/>
        <v>193.38703557526682</v>
      </c>
      <c r="J62" s="20">
        <f>J61+I61</f>
        <v>971.26460547889349</v>
      </c>
      <c r="K62" s="22">
        <v>5.2645734067182107E-2</v>
      </c>
      <c r="L62" s="2">
        <f t="shared" si="9"/>
        <v>3594.6941276091529</v>
      </c>
      <c r="M62" s="2">
        <f t="shared" si="10"/>
        <v>193.38703557526682</v>
      </c>
      <c r="N62" s="2">
        <f>L62+SUM($M$57:M62)</f>
        <v>4759.3457686633137</v>
      </c>
      <c r="O62" s="2">
        <f t="shared" si="13"/>
        <v>1164.6516410541608</v>
      </c>
    </row>
    <row r="63" spans="1:15" x14ac:dyDescent="0.25">
      <c r="B63" s="10">
        <v>2024</v>
      </c>
      <c r="C63" s="11">
        <v>5103.1187691104178</v>
      </c>
      <c r="D63" s="11">
        <v>1412434.5035978679</v>
      </c>
      <c r="E63" s="17">
        <f t="shared" si="7"/>
        <v>960866.50359787163</v>
      </c>
      <c r="F63" s="17">
        <f t="shared" si="11"/>
        <v>77377.142857141793</v>
      </c>
      <c r="G63" s="21">
        <v>14.6</v>
      </c>
      <c r="H63" s="21">
        <v>20.832056000000001</v>
      </c>
      <c r="I63" s="17">
        <f t="shared" si="8"/>
        <v>191.98614243986881</v>
      </c>
      <c r="J63" s="20">
        <f t="shared" si="12"/>
        <v>1164.6516410541603</v>
      </c>
      <c r="K63" s="22">
        <v>5.1687952318365801E-2</v>
      </c>
      <c r="L63" s="2">
        <f t="shared" si="9"/>
        <v>3401.7275357727162</v>
      </c>
      <c r="M63" s="2">
        <f t="shared" si="10"/>
        <v>191.98614243986881</v>
      </c>
      <c r="N63" s="2">
        <f>L63+SUM($M$57:M63)</f>
        <v>4758.3653192667452</v>
      </c>
      <c r="O63" s="2">
        <f t="shared" si="13"/>
        <v>1356.637783494029</v>
      </c>
    </row>
    <row r="64" spans="1:15" x14ac:dyDescent="0.25">
      <c r="B64" s="10">
        <v>2025</v>
      </c>
      <c r="C64" s="11">
        <v>5195.5160642926385</v>
      </c>
      <c r="D64" s="11">
        <v>1453842.0175012546</v>
      </c>
      <c r="E64" s="17">
        <f t="shared" si="7"/>
        <v>920607.73178697284</v>
      </c>
      <c r="F64" s="17">
        <f t="shared" si="11"/>
        <v>81666.285714285448</v>
      </c>
      <c r="G64" s="21">
        <v>14.6</v>
      </c>
      <c r="H64" s="21">
        <v>21.809887199999999</v>
      </c>
      <c r="I64" s="17">
        <f t="shared" si="8"/>
        <v>190.5873996307792</v>
      </c>
      <c r="J64" s="20">
        <f t="shared" si="12"/>
        <v>1356.6377834940292</v>
      </c>
      <c r="K64" s="22">
        <v>5.089847850104328E-2</v>
      </c>
      <c r="L64" s="2">
        <f t="shared" si="9"/>
        <v>3209.4200578255795</v>
      </c>
      <c r="M64" s="2">
        <f t="shared" si="10"/>
        <v>190.5873996307792</v>
      </c>
      <c r="N64" s="2">
        <f>L64+SUM($M$57:M64)</f>
        <v>4756.6452409503881</v>
      </c>
      <c r="O64" s="2">
        <f t="shared" si="13"/>
        <v>1547.2251831248086</v>
      </c>
    </row>
    <row r="65" spans="2:15" x14ac:dyDescent="0.25">
      <c r="B65" s="10">
        <v>2026</v>
      </c>
      <c r="C65" s="11">
        <v>5299.0832939312513</v>
      </c>
      <c r="D65" s="11">
        <v>1495296.6218874408</v>
      </c>
      <c r="E65" s="17">
        <f t="shared" si="7"/>
        <v>876106.90760173183</v>
      </c>
      <c r="F65" s="17">
        <f t="shared" si="11"/>
        <v>85955.428571427241</v>
      </c>
      <c r="G65" s="21">
        <v>14.6</v>
      </c>
      <c r="H65" s="21">
        <v>21.809887199999999</v>
      </c>
      <c r="I65" s="17">
        <f t="shared" si="8"/>
        <v>198.14782201409068</v>
      </c>
      <c r="J65" s="20">
        <f t="shared" si="12"/>
        <v>1547.2251831248084</v>
      </c>
      <c r="K65" s="22">
        <v>5.0277006570467471E-2</v>
      </c>
      <c r="L65" s="2">
        <f t="shared" si="9"/>
        <v>3016.9885445153573</v>
      </c>
      <c r="M65" s="2">
        <f t="shared" si="10"/>
        <v>198.14782201409068</v>
      </c>
      <c r="N65" s="2">
        <f>L65+SUM($M$57:M65)</f>
        <v>4762.3615496542561</v>
      </c>
      <c r="O65" s="2">
        <f t="shared" si="13"/>
        <v>1745.3730051388989</v>
      </c>
    </row>
    <row r="66" spans="2:15" x14ac:dyDescent="0.25">
      <c r="B66" s="10">
        <v>2027</v>
      </c>
      <c r="C66" s="11">
        <v>5413.8700580907316</v>
      </c>
      <c r="D66" s="11">
        <v>1536770.45903657</v>
      </c>
      <c r="E66" s="17">
        <f t="shared" si="7"/>
        <v>827336.17332229018</v>
      </c>
      <c r="F66" s="17">
        <f t="shared" si="11"/>
        <v>90244.571428570896</v>
      </c>
      <c r="G66" s="21">
        <v>14.6</v>
      </c>
      <c r="H66" s="21">
        <v>21.809887199999999</v>
      </c>
      <c r="I66" s="17">
        <f t="shared" si="8"/>
        <v>206.18963390117906</v>
      </c>
      <c r="J66" s="20">
        <f t="shared" si="12"/>
        <v>1745.3730051388991</v>
      </c>
      <c r="K66" s="22">
        <v>4.9830949230596E-2</v>
      </c>
      <c r="L66" s="2">
        <f>E66*K66/G66</f>
        <v>2823.7634828396313</v>
      </c>
      <c r="M66" s="2">
        <f>F66*K66/H66</f>
        <v>206.18963390117906</v>
      </c>
      <c r="N66" s="2">
        <f>L66+SUM($M$57:M66)</f>
        <v>4775.3261218797097</v>
      </c>
      <c r="O66" s="2">
        <f t="shared" si="13"/>
        <v>1951.5626390400785</v>
      </c>
    </row>
    <row r="67" spans="2:15" x14ac:dyDescent="0.25">
      <c r="B67" s="10">
        <v>2028</v>
      </c>
      <c r="C67" s="11">
        <v>5539.9656368863471</v>
      </c>
      <c r="D67" s="11">
        <v>1578233.9588539612</v>
      </c>
      <c r="E67" s="17">
        <f t="shared" si="7"/>
        <v>774265.95885396679</v>
      </c>
      <c r="F67" s="17">
        <f t="shared" si="11"/>
        <v>94533.714285714552</v>
      </c>
      <c r="G67" s="21">
        <v>14.6</v>
      </c>
      <c r="H67" s="21">
        <v>21.809887199999999</v>
      </c>
      <c r="I67" s="17">
        <f t="shared" si="8"/>
        <v>214.86603819533605</v>
      </c>
      <c r="J67" s="20">
        <f t="shared" si="12"/>
        <v>1951.5626390400782</v>
      </c>
      <c r="K67" s="22">
        <v>4.9571775440746917E-2</v>
      </c>
      <c r="L67" s="2">
        <f t="shared" ref="L67:L69" si="14">E67*K67/G67</f>
        <v>2628.8861810769477</v>
      </c>
      <c r="M67" s="2">
        <f t="shared" ref="M67:M69" si="15">F67*K67/H67</f>
        <v>214.86603819533605</v>
      </c>
      <c r="N67" s="2">
        <f>L67+SUM($M$57:M67)</f>
        <v>4795.314858312362</v>
      </c>
      <c r="O67" s="2">
        <f t="shared" si="13"/>
        <v>2166.4286772354144</v>
      </c>
    </row>
    <row r="68" spans="2:15" x14ac:dyDescent="0.25">
      <c r="B68" s="10">
        <v>2029</v>
      </c>
      <c r="C68" s="11">
        <v>5677.2013900999818</v>
      </c>
      <c r="D68" s="11">
        <v>1619667.6062884759</v>
      </c>
      <c r="E68" s="17">
        <f t="shared" si="7"/>
        <v>716876.74914562516</v>
      </c>
      <c r="F68" s="17">
        <f t="shared" si="11"/>
        <v>98822.857142856345</v>
      </c>
      <c r="G68" s="21">
        <v>14.6</v>
      </c>
      <c r="H68" s="21">
        <v>21.809887199999999</v>
      </c>
      <c r="I68" s="17">
        <f t="shared" si="8"/>
        <v>224.33545148636534</v>
      </c>
      <c r="J68" s="20">
        <f t="shared" si="12"/>
        <v>2166.4286772354144</v>
      </c>
      <c r="K68" s="22">
        <v>4.9510113685600751E-2</v>
      </c>
      <c r="L68" s="2">
        <f t="shared" si="14"/>
        <v>2431.0033800523147</v>
      </c>
      <c r="M68" s="2">
        <f t="shared" si="15"/>
        <v>224.33545148636534</v>
      </c>
      <c r="N68" s="2">
        <f>L68+SUM($M$57:M68)</f>
        <v>4821.7675087740945</v>
      </c>
      <c r="O68" s="2">
        <f t="shared" si="13"/>
        <v>2390.7641287217798</v>
      </c>
    </row>
    <row r="69" spans="2:15" x14ac:dyDescent="0.25">
      <c r="B69" s="10">
        <v>2030</v>
      </c>
      <c r="C69" s="11">
        <v>5826.0534783480334</v>
      </c>
      <c r="D69" s="11">
        <v>1661026.0804002865</v>
      </c>
      <c r="E69" s="17">
        <f t="shared" si="7"/>
        <v>655123.22325743572</v>
      </c>
      <c r="F69" s="17">
        <f t="shared" si="11"/>
        <v>103112</v>
      </c>
      <c r="G69" s="21">
        <v>14.6</v>
      </c>
      <c r="H69" s="21">
        <v>21.809887199999999</v>
      </c>
      <c r="I69" s="17">
        <f t="shared" si="8"/>
        <v>234.85513903642246</v>
      </c>
      <c r="J69" s="20">
        <f t="shared" si="12"/>
        <v>2390.7641287217798</v>
      </c>
      <c r="K69" s="22">
        <v>4.9675732123561661E-2</v>
      </c>
      <c r="L69" s="2">
        <f t="shared" si="14"/>
        <v>2229.0223114014152</v>
      </c>
      <c r="M69" s="2">
        <f t="shared" si="15"/>
        <v>234.85513903642246</v>
      </c>
      <c r="N69" s="2">
        <f>L69+SUM($M$57:M69)</f>
        <v>4854.6415791596173</v>
      </c>
      <c r="O69" s="2">
        <f t="shared" si="13"/>
        <v>2625.6192677582021</v>
      </c>
    </row>
    <row r="70" spans="2:15" x14ac:dyDescent="0.25">
      <c r="B70" t="s">
        <v>23</v>
      </c>
      <c r="C70" t="s">
        <v>24</v>
      </c>
      <c r="D70" t="s">
        <v>25</v>
      </c>
      <c r="E70" t="s">
        <v>27</v>
      </c>
    </row>
    <row r="72" spans="2:15" ht="18" x14ac:dyDescent="0.35">
      <c r="E72" s="1"/>
      <c r="F72" s="3" t="s">
        <v>70</v>
      </c>
    </row>
    <row r="73" spans="2:15" ht="38.25" x14ac:dyDescent="0.25">
      <c r="B73" s="24" t="s">
        <v>0</v>
      </c>
      <c r="C73" s="24" t="s">
        <v>1</v>
      </c>
      <c r="D73" s="25" t="s">
        <v>5</v>
      </c>
      <c r="E73" s="25" t="s">
        <v>6</v>
      </c>
      <c r="F73" s="23" t="s">
        <v>71</v>
      </c>
      <c r="G73" s="25" t="s">
        <v>72</v>
      </c>
      <c r="H73" s="25" t="s">
        <v>73</v>
      </c>
      <c r="I73" s="25" t="s">
        <v>74</v>
      </c>
    </row>
    <row r="74" spans="2:15" x14ac:dyDescent="0.25">
      <c r="B74" s="26">
        <v>2013</v>
      </c>
      <c r="C74" s="27">
        <v>1073183.6651212492</v>
      </c>
      <c r="D74" s="28">
        <v>0</v>
      </c>
      <c r="E74" s="28">
        <f>F29</f>
        <v>1073183.6651212492</v>
      </c>
      <c r="F74" s="27">
        <v>4488.9048500498293</v>
      </c>
      <c r="G74" s="28">
        <f>H6</f>
        <v>0</v>
      </c>
      <c r="H74" s="28">
        <f>G29</f>
        <v>4488.9048500498293</v>
      </c>
      <c r="I74" s="28">
        <f>G74+H74</f>
        <v>4488.9048500498293</v>
      </c>
      <c r="K74" s="2"/>
    </row>
    <row r="75" spans="2:15" x14ac:dyDescent="0.25">
      <c r="B75" s="26">
        <v>2014</v>
      </c>
      <c r="C75" s="27">
        <v>976651.16433813574</v>
      </c>
      <c r="D75" s="28">
        <v>0</v>
      </c>
      <c r="E75" s="28">
        <f t="shared" ref="E75:E91" si="16">F30</f>
        <v>976651.16433813574</v>
      </c>
      <c r="F75" s="27">
        <v>4409.1759291458902</v>
      </c>
      <c r="G75" s="28">
        <f t="shared" ref="G75:G91" si="17">H7</f>
        <v>0</v>
      </c>
      <c r="H75" s="28">
        <f t="shared" ref="H75:H91" si="18">G30</f>
        <v>4409.1759291458893</v>
      </c>
      <c r="I75" s="28">
        <f t="shared" ref="I75:I91" si="19">G75+H75</f>
        <v>4409.1759291458893</v>
      </c>
      <c r="K75" s="2"/>
    </row>
    <row r="76" spans="2:15" x14ac:dyDescent="0.25">
      <c r="B76" s="26">
        <v>2015</v>
      </c>
      <c r="C76" s="27">
        <v>1019571.4085290028</v>
      </c>
      <c r="D76" s="28">
        <v>0</v>
      </c>
      <c r="E76" s="28">
        <f t="shared" si="16"/>
        <v>1019571.4085290028</v>
      </c>
      <c r="F76" s="27">
        <v>4697.8044143992256</v>
      </c>
      <c r="G76" s="28">
        <f t="shared" si="17"/>
        <v>0</v>
      </c>
      <c r="H76" s="28">
        <f t="shared" si="18"/>
        <v>4697.8044143992256</v>
      </c>
      <c r="I76" s="28">
        <f t="shared" si="19"/>
        <v>4697.8044143992256</v>
      </c>
      <c r="K76" s="2"/>
    </row>
    <row r="77" spans="2:15" x14ac:dyDescent="0.25">
      <c r="B77" s="26">
        <v>2016</v>
      </c>
      <c r="C77" s="27">
        <v>1117970.6924468274</v>
      </c>
      <c r="D77" s="28">
        <v>0</v>
      </c>
      <c r="E77" s="28">
        <f t="shared" si="16"/>
        <v>1117970.6924468274</v>
      </c>
      <c r="F77" s="27">
        <v>4861.015568828896</v>
      </c>
      <c r="G77" s="28">
        <f t="shared" si="17"/>
        <v>0</v>
      </c>
      <c r="H77" s="28">
        <f t="shared" si="18"/>
        <v>4861.0155688288969</v>
      </c>
      <c r="I77" s="28">
        <f t="shared" si="19"/>
        <v>4861.0155688288969</v>
      </c>
      <c r="K77" s="2"/>
    </row>
    <row r="78" spans="2:15" x14ac:dyDescent="0.25">
      <c r="B78" s="26">
        <v>2017</v>
      </c>
      <c r="C78" s="27">
        <v>1053030.9082251894</v>
      </c>
      <c r="D78" s="28">
        <v>0</v>
      </c>
      <c r="E78" s="28">
        <f t="shared" si="16"/>
        <v>1053030.9082251894</v>
      </c>
      <c r="F78" s="27">
        <v>4774.6817019902828</v>
      </c>
      <c r="G78" s="28">
        <f t="shared" si="17"/>
        <v>0</v>
      </c>
      <c r="H78" s="28">
        <f t="shared" si="18"/>
        <v>4774.6817019902837</v>
      </c>
      <c r="I78" s="28">
        <f t="shared" si="19"/>
        <v>4774.6817019902837</v>
      </c>
      <c r="K78" s="2"/>
    </row>
    <row r="79" spans="2:15" x14ac:dyDescent="0.25">
      <c r="B79" s="26">
        <v>2018</v>
      </c>
      <c r="C79" s="27">
        <v>1166385.7116395417</v>
      </c>
      <c r="D79" s="28">
        <f>F11</f>
        <v>51642.285714285448</v>
      </c>
      <c r="E79" s="28">
        <f t="shared" si="16"/>
        <v>1114743.4259252562</v>
      </c>
      <c r="F79" s="27">
        <v>4784.7519434793039</v>
      </c>
      <c r="G79" s="28">
        <f t="shared" si="17"/>
        <v>191.45023229462763</v>
      </c>
      <c r="H79" s="28">
        <f t="shared" si="18"/>
        <v>4572.9047607923612</v>
      </c>
      <c r="I79" s="28">
        <f t="shared" si="19"/>
        <v>4764.3549930869885</v>
      </c>
      <c r="K79" s="2"/>
    </row>
    <row r="80" spans="2:15" x14ac:dyDescent="0.25">
      <c r="B80" s="26">
        <v>2019</v>
      </c>
      <c r="C80" s="27">
        <v>1206991.5861911501</v>
      </c>
      <c r="D80" s="28">
        <f t="shared" ref="D80:D91" si="20">F12</f>
        <v>107573.71428571269</v>
      </c>
      <c r="E80" s="28">
        <f t="shared" si="16"/>
        <v>1099417.8719054374</v>
      </c>
      <c r="F80" s="27">
        <v>4809.2963508437269</v>
      </c>
      <c r="G80" s="28">
        <f t="shared" si="17"/>
        <v>385.440580262585</v>
      </c>
      <c r="H80" s="28">
        <f t="shared" si="18"/>
        <v>4374.8827982689982</v>
      </c>
      <c r="I80" s="28">
        <f t="shared" si="19"/>
        <v>4760.3233785315833</v>
      </c>
      <c r="K80" s="2"/>
    </row>
    <row r="81" spans="2:11" x14ac:dyDescent="0.25">
      <c r="B81" s="26">
        <v>2020</v>
      </c>
      <c r="C81" s="27">
        <v>1247784.1313553418</v>
      </c>
      <c r="D81" s="28">
        <f t="shared" si="20"/>
        <v>167794.28571428359</v>
      </c>
      <c r="E81" s="28">
        <f t="shared" si="16"/>
        <v>1079989.8456410582</v>
      </c>
      <c r="F81" s="27">
        <v>4845.536453345142</v>
      </c>
      <c r="G81" s="28">
        <f t="shared" si="17"/>
        <v>581.05574480432074</v>
      </c>
      <c r="H81" s="28">
        <f t="shared" si="18"/>
        <v>4178.1480588033037</v>
      </c>
      <c r="I81" s="28">
        <f t="shared" si="19"/>
        <v>4759.2038036076246</v>
      </c>
      <c r="K81" s="2"/>
    </row>
    <row r="82" spans="2:11" x14ac:dyDescent="0.25">
      <c r="B82" s="26">
        <v>2021</v>
      </c>
      <c r="C82" s="27">
        <v>1288748.2711188961</v>
      </c>
      <c r="D82" s="28">
        <f t="shared" si="20"/>
        <v>232303.99999999814</v>
      </c>
      <c r="E82" s="28">
        <f t="shared" si="16"/>
        <v>1056444.2711188979</v>
      </c>
      <c r="F82" s="27">
        <v>4893.1151305214926</v>
      </c>
      <c r="G82" s="28">
        <f t="shared" si="17"/>
        <v>776.63719799842625</v>
      </c>
      <c r="H82" s="28">
        <f t="shared" si="18"/>
        <v>3982.5406391933921</v>
      </c>
      <c r="I82" s="28">
        <f t="shared" si="19"/>
        <v>4759.1778371918181</v>
      </c>
      <c r="K82" s="2"/>
    </row>
    <row r="83" spans="2:11" x14ac:dyDescent="0.25">
      <c r="B83" s="26">
        <v>2022</v>
      </c>
      <c r="C83" s="27">
        <v>1329857.3224403893</v>
      </c>
      <c r="D83" s="28">
        <f t="shared" si="20"/>
        <v>301102.85714285448</v>
      </c>
      <c r="E83" s="28">
        <f t="shared" si="16"/>
        <v>1028754.4652975348</v>
      </c>
      <c r="F83" s="27">
        <v>4952.0423023853336</v>
      </c>
      <c r="G83" s="28">
        <f t="shared" si="17"/>
        <v>971.26460547889349</v>
      </c>
      <c r="H83" s="28">
        <f t="shared" si="18"/>
        <v>3788.1330883649971</v>
      </c>
      <c r="I83" s="28">
        <f t="shared" si="19"/>
        <v>4759.3976938438909</v>
      </c>
      <c r="K83" s="2"/>
    </row>
    <row r="84" spans="2:11" x14ac:dyDescent="0.25">
      <c r="B84" s="26">
        <v>2023</v>
      </c>
      <c r="C84" s="27">
        <v>1371090.8945916586</v>
      </c>
      <c r="D84" s="28">
        <f t="shared" si="20"/>
        <v>374190.85714285448</v>
      </c>
      <c r="E84" s="28">
        <f t="shared" si="16"/>
        <v>996900.03744880413</v>
      </c>
      <c r="F84" s="27">
        <v>5022.1493287186813</v>
      </c>
      <c r="G84" s="28">
        <f t="shared" si="17"/>
        <v>1164.6516410541603</v>
      </c>
      <c r="H84" s="28">
        <f t="shared" si="18"/>
        <v>3594.6941276091529</v>
      </c>
      <c r="I84" s="28">
        <f t="shared" si="19"/>
        <v>4759.3457686633137</v>
      </c>
      <c r="K84" s="2"/>
    </row>
    <row r="85" spans="2:11" x14ac:dyDescent="0.25">
      <c r="B85" s="26">
        <v>2024</v>
      </c>
      <c r="C85" s="27">
        <v>1412434.5035978679</v>
      </c>
      <c r="D85" s="28">
        <f t="shared" si="20"/>
        <v>451567.99999999627</v>
      </c>
      <c r="E85" s="28">
        <f t="shared" si="16"/>
        <v>960866.50359787163</v>
      </c>
      <c r="F85" s="27">
        <v>5103.1187691104178</v>
      </c>
      <c r="G85" s="28">
        <f t="shared" si="17"/>
        <v>1356.6377834940292</v>
      </c>
      <c r="H85" s="28">
        <f t="shared" si="18"/>
        <v>3401.7275357727162</v>
      </c>
      <c r="I85" s="28">
        <f t="shared" si="19"/>
        <v>4758.3653192667452</v>
      </c>
      <c r="K85" s="2"/>
    </row>
    <row r="86" spans="2:11" x14ac:dyDescent="0.25">
      <c r="B86" s="26">
        <v>2025</v>
      </c>
      <c r="C86" s="27">
        <v>1453842.0175012546</v>
      </c>
      <c r="D86" s="28">
        <f t="shared" si="20"/>
        <v>533234.28571428172</v>
      </c>
      <c r="E86" s="28">
        <f t="shared" si="16"/>
        <v>920607.73178697284</v>
      </c>
      <c r="F86" s="27">
        <v>5195.5160642926385</v>
      </c>
      <c r="G86" s="28">
        <f t="shared" si="17"/>
        <v>1547.2251831248084</v>
      </c>
      <c r="H86" s="28">
        <f t="shared" si="18"/>
        <v>3209.4200578255795</v>
      </c>
      <c r="I86" s="28">
        <f t="shared" si="19"/>
        <v>4756.6452409503881</v>
      </c>
      <c r="K86" s="2"/>
    </row>
    <row r="87" spans="2:11" x14ac:dyDescent="0.25">
      <c r="B87" s="26">
        <v>2026</v>
      </c>
      <c r="C87" s="27">
        <v>1495296.6218874408</v>
      </c>
      <c r="D87" s="28">
        <f t="shared" si="20"/>
        <v>619189.71428570896</v>
      </c>
      <c r="E87" s="28">
        <f t="shared" si="16"/>
        <v>876106.90760173183</v>
      </c>
      <c r="F87" s="27">
        <v>5299.0832939312513</v>
      </c>
      <c r="G87" s="28">
        <f t="shared" si="17"/>
        <v>1745.3730051388991</v>
      </c>
      <c r="H87" s="28">
        <f t="shared" si="18"/>
        <v>3016.9885445153573</v>
      </c>
      <c r="I87" s="28">
        <f t="shared" si="19"/>
        <v>4762.3615496542561</v>
      </c>
      <c r="K87" s="2"/>
    </row>
    <row r="88" spans="2:11" x14ac:dyDescent="0.25">
      <c r="B88" s="26">
        <v>2027</v>
      </c>
      <c r="C88" s="27">
        <v>1536770.45903657</v>
      </c>
      <c r="D88" s="28">
        <f t="shared" si="20"/>
        <v>709434.28571427986</v>
      </c>
      <c r="E88" s="28">
        <f t="shared" si="16"/>
        <v>827336.17332229018</v>
      </c>
      <c r="F88" s="27">
        <v>5413.8700580907316</v>
      </c>
      <c r="G88" s="28">
        <f t="shared" si="17"/>
        <v>1951.5626390400782</v>
      </c>
      <c r="H88" s="28">
        <f t="shared" si="18"/>
        <v>2823.7634828396313</v>
      </c>
      <c r="I88" s="28">
        <f t="shared" si="19"/>
        <v>4775.3261218797097</v>
      </c>
      <c r="K88" s="2"/>
    </row>
    <row r="89" spans="2:11" x14ac:dyDescent="0.25">
      <c r="B89" s="26">
        <v>2028</v>
      </c>
      <c r="C89" s="27">
        <v>1578233.9588539612</v>
      </c>
      <c r="D89" s="28">
        <f t="shared" si="20"/>
        <v>803967.99999999441</v>
      </c>
      <c r="E89" s="28">
        <f t="shared" si="16"/>
        <v>774265.95885396679</v>
      </c>
      <c r="F89" s="27">
        <v>5539.9656368863471</v>
      </c>
      <c r="G89" s="28">
        <f t="shared" si="17"/>
        <v>2166.4286772354144</v>
      </c>
      <c r="H89" s="28">
        <f t="shared" si="18"/>
        <v>2628.8861810769477</v>
      </c>
      <c r="I89" s="28">
        <f t="shared" si="19"/>
        <v>4795.314858312362</v>
      </c>
      <c r="K89" s="2"/>
    </row>
    <row r="90" spans="2:11" x14ac:dyDescent="0.25">
      <c r="B90" s="26">
        <v>2029</v>
      </c>
      <c r="C90" s="27">
        <v>1619667.6062884759</v>
      </c>
      <c r="D90" s="28">
        <f t="shared" si="20"/>
        <v>902790.85714285076</v>
      </c>
      <c r="E90" s="28">
        <f t="shared" si="16"/>
        <v>716876.74914562516</v>
      </c>
      <c r="F90" s="27">
        <v>5677.2013900999818</v>
      </c>
      <c r="G90" s="28">
        <f t="shared" si="17"/>
        <v>2390.7641287217798</v>
      </c>
      <c r="H90" s="28">
        <f t="shared" si="18"/>
        <v>2431.0033800523147</v>
      </c>
      <c r="I90" s="28">
        <f t="shared" si="19"/>
        <v>4821.7675087740945</v>
      </c>
      <c r="K90" s="2"/>
    </row>
    <row r="91" spans="2:11" x14ac:dyDescent="0.25">
      <c r="B91" s="26">
        <v>2030</v>
      </c>
      <c r="C91" s="27">
        <v>1661026.0804002865</v>
      </c>
      <c r="D91" s="28">
        <f t="shared" si="20"/>
        <v>1005902.8571428508</v>
      </c>
      <c r="E91" s="28">
        <f t="shared" si="16"/>
        <v>655123.22325743572</v>
      </c>
      <c r="F91" s="27">
        <v>5826.0534783480334</v>
      </c>
      <c r="G91" s="28">
        <f t="shared" si="17"/>
        <v>2625.6192677582021</v>
      </c>
      <c r="H91" s="28">
        <f t="shared" si="18"/>
        <v>2229.0223114014152</v>
      </c>
      <c r="I91" s="28">
        <f t="shared" si="19"/>
        <v>4854.6415791596173</v>
      </c>
      <c r="K91" s="2">
        <f>F91-I91</f>
        <v>971.4118991884161</v>
      </c>
    </row>
    <row r="92" spans="2:11" x14ac:dyDescent="0.25">
      <c r="B92" t="s">
        <v>23</v>
      </c>
      <c r="C92" t="s">
        <v>24</v>
      </c>
      <c r="D92" t="s">
        <v>25</v>
      </c>
      <c r="E92" t="s">
        <v>27</v>
      </c>
    </row>
    <row r="97" spans="3:3" x14ac:dyDescent="0.25">
      <c r="C97" s="67">
        <f>(C91-C79)/C79</f>
        <v>0.42407958518751798</v>
      </c>
    </row>
  </sheetData>
  <mergeCells count="3">
    <mergeCell ref="E4:H4"/>
    <mergeCell ref="E27:H27"/>
    <mergeCell ref="B50:K5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E23F-C98B-4446-AEF4-8B68088FF5A7}">
  <dimension ref="A2:O92"/>
  <sheetViews>
    <sheetView zoomScale="80" zoomScaleNormal="80" workbookViewId="0"/>
  </sheetViews>
  <sheetFormatPr baseColWidth="10" defaultRowHeight="15" x14ac:dyDescent="0.25"/>
  <cols>
    <col min="2" max="4" width="18.140625" customWidth="1"/>
    <col min="5" max="5" width="20.5703125" customWidth="1"/>
    <col min="6" max="6" width="30.140625" customWidth="1"/>
    <col min="7" max="7" width="23.7109375" customWidth="1"/>
    <col min="8" max="8" width="23.28515625" customWidth="1"/>
    <col min="9" max="9" width="28" customWidth="1"/>
    <col min="10" max="10" width="23.7109375" customWidth="1"/>
    <col min="11" max="11" width="18.140625" customWidth="1"/>
    <col min="12" max="12" width="17" customWidth="1"/>
  </cols>
  <sheetData>
    <row r="2" spans="1:12" x14ac:dyDescent="0.25">
      <c r="D2">
        <v>1</v>
      </c>
    </row>
    <row r="3" spans="1:12" x14ac:dyDescent="0.25">
      <c r="I3" s="5"/>
      <c r="J3" s="13"/>
      <c r="K3" s="13"/>
      <c r="L3" s="14"/>
    </row>
    <row r="4" spans="1:12" x14ac:dyDescent="0.25">
      <c r="B4" s="32"/>
      <c r="C4" s="33"/>
      <c r="D4" s="33"/>
      <c r="E4" s="68" t="s">
        <v>10</v>
      </c>
      <c r="F4" s="68"/>
      <c r="G4" s="68"/>
      <c r="H4" s="68"/>
      <c r="I4" s="34"/>
      <c r="J4" s="13"/>
      <c r="K4" s="13"/>
      <c r="L4" s="14"/>
    </row>
    <row r="5" spans="1:12" ht="45" x14ac:dyDescent="0.25">
      <c r="B5" s="9" t="s">
        <v>0</v>
      </c>
      <c r="C5" s="9" t="s">
        <v>22</v>
      </c>
      <c r="D5" s="9" t="s">
        <v>44</v>
      </c>
      <c r="E5" s="9" t="s">
        <v>33</v>
      </c>
      <c r="F5" s="16" t="s">
        <v>36</v>
      </c>
      <c r="G5" s="16" t="s">
        <v>8</v>
      </c>
      <c r="H5" s="16" t="s">
        <v>9</v>
      </c>
      <c r="I5" s="9" t="s">
        <v>4</v>
      </c>
      <c r="J5" s="14"/>
      <c r="K5" s="7"/>
      <c r="L5" s="14"/>
    </row>
    <row r="6" spans="1:12" x14ac:dyDescent="0.25">
      <c r="B6" s="10">
        <v>2013</v>
      </c>
      <c r="C6" s="11">
        <v>1073183.6651212492</v>
      </c>
      <c r="D6" s="11">
        <f>D29*$D$2-E6</f>
        <v>28898</v>
      </c>
      <c r="E6" s="11"/>
      <c r="F6" s="17"/>
      <c r="G6" s="18"/>
      <c r="H6" s="18"/>
      <c r="I6" s="10"/>
      <c r="J6" s="14"/>
      <c r="K6" s="6"/>
      <c r="L6" s="14"/>
    </row>
    <row r="7" spans="1:12" x14ac:dyDescent="0.25">
      <c r="B7" s="10">
        <v>2014</v>
      </c>
      <c r="C7" s="11">
        <v>976651.16433813574</v>
      </c>
      <c r="D7" s="11">
        <f t="shared" ref="D7:D22" si="0">D30*$D$2-E7</f>
        <v>28300</v>
      </c>
      <c r="E7" s="11"/>
      <c r="F7" s="17"/>
      <c r="G7" s="18"/>
      <c r="H7" s="18"/>
      <c r="I7" s="10"/>
      <c r="J7" s="8"/>
      <c r="K7" s="6"/>
      <c r="L7" s="8"/>
    </row>
    <row r="8" spans="1:12" x14ac:dyDescent="0.25">
      <c r="B8" s="10">
        <v>2015</v>
      </c>
      <c r="C8" s="11">
        <v>1019571.4085290028</v>
      </c>
      <c r="D8" s="11">
        <f t="shared" si="0"/>
        <v>37202</v>
      </c>
      <c r="E8" s="11"/>
      <c r="F8" s="17"/>
      <c r="G8" s="18"/>
      <c r="H8" s="18"/>
      <c r="I8" s="10"/>
      <c r="J8" s="8"/>
      <c r="K8" s="6"/>
      <c r="L8" s="8"/>
    </row>
    <row r="9" spans="1:12" x14ac:dyDescent="0.25">
      <c r="B9" s="10">
        <v>2016</v>
      </c>
      <c r="C9" s="11">
        <v>1117970.6924468274</v>
      </c>
      <c r="D9" s="11">
        <f t="shared" si="0"/>
        <v>48314</v>
      </c>
      <c r="E9" s="11"/>
      <c r="F9" s="17"/>
      <c r="G9" s="18"/>
      <c r="H9" s="18"/>
      <c r="I9" s="10"/>
      <c r="J9" s="14"/>
      <c r="K9" s="6"/>
      <c r="L9" s="14"/>
    </row>
    <row r="10" spans="1:12" x14ac:dyDescent="0.25">
      <c r="B10" s="10">
        <v>2017</v>
      </c>
      <c r="C10" s="11">
        <v>1053030.9082251894</v>
      </c>
      <c r="D10" s="11">
        <f t="shared" si="0"/>
        <v>47353.142857141793</v>
      </c>
      <c r="E10" s="11"/>
      <c r="F10" s="17"/>
      <c r="G10" s="18"/>
      <c r="H10" s="18"/>
      <c r="I10" s="10"/>
      <c r="J10" s="14"/>
      <c r="K10" s="6"/>
      <c r="L10" s="14"/>
    </row>
    <row r="11" spans="1:12" x14ac:dyDescent="0.25">
      <c r="A11" s="3" t="s">
        <v>3</v>
      </c>
      <c r="B11" s="10">
        <v>2018</v>
      </c>
      <c r="C11" s="11">
        <v>1166385.7116395417</v>
      </c>
      <c r="D11" s="11">
        <f>D34*$D$2-E11</f>
        <v>51443.285714285448</v>
      </c>
      <c r="E11" s="11">
        <v>199</v>
      </c>
      <c r="F11" s="17">
        <f>D11+F10</f>
        <v>51443.285714285448</v>
      </c>
      <c r="G11" s="17">
        <f t="shared" ref="G11:G23" si="1">D11*K57/I11</f>
        <v>190.7124919777599</v>
      </c>
      <c r="H11" s="17">
        <f>H10+G11</f>
        <v>190.7124919777599</v>
      </c>
      <c r="I11" s="12">
        <v>16.155472</v>
      </c>
      <c r="J11" s="14"/>
      <c r="K11" s="6"/>
      <c r="L11" s="14"/>
    </row>
    <row r="12" spans="1:12" x14ac:dyDescent="0.25">
      <c r="B12" s="10">
        <v>2019</v>
      </c>
      <c r="C12" s="11">
        <v>1206991.5861911501</v>
      </c>
      <c r="D12" s="11">
        <f t="shared" si="0"/>
        <v>55651.428571427241</v>
      </c>
      <c r="E12" s="11">
        <v>280</v>
      </c>
      <c r="F12" s="17">
        <f>D12+F11</f>
        <v>107094.71428571269</v>
      </c>
      <c r="G12" s="17">
        <f t="shared" si="1"/>
        <v>193.01920707600496</v>
      </c>
      <c r="H12" s="17">
        <f t="shared" ref="H12:H23" si="2">H11+G12</f>
        <v>383.73169905376483</v>
      </c>
      <c r="I12" s="12">
        <v>16.750673599999999</v>
      </c>
      <c r="J12" s="14"/>
      <c r="K12" s="6"/>
      <c r="L12" s="14"/>
    </row>
    <row r="13" spans="1:12" x14ac:dyDescent="0.25">
      <c r="B13" s="10">
        <v>2020</v>
      </c>
      <c r="C13" s="11">
        <v>1247784.1313553418</v>
      </c>
      <c r="D13" s="11">
        <f t="shared" si="0"/>
        <v>59892.095584415052</v>
      </c>
      <c r="E13" s="11">
        <v>328.47584415584117</v>
      </c>
      <c r="F13" s="17">
        <f>D13+F12</f>
        <v>166986.80987012773</v>
      </c>
      <c r="G13" s="17">
        <f t="shared" si="1"/>
        <v>194.54817273514453</v>
      </c>
      <c r="H13" s="17">
        <f t="shared" si="2"/>
        <v>578.2798717889093</v>
      </c>
      <c r="I13" s="12">
        <v>17.3883896</v>
      </c>
      <c r="J13" s="14"/>
      <c r="K13" s="6"/>
      <c r="L13" s="14"/>
    </row>
    <row r="14" spans="1:12" x14ac:dyDescent="0.25">
      <c r="B14" s="10">
        <v>2021</v>
      </c>
      <c r="C14" s="11">
        <v>1288748.2711188961</v>
      </c>
      <c r="D14" s="11">
        <f t="shared" si="0"/>
        <v>63805.971948052211</v>
      </c>
      <c r="E14" s="11">
        <v>703.74233766234056</v>
      </c>
      <c r="F14" s="17">
        <f>D14+F13</f>
        <v>230792.78181817994</v>
      </c>
      <c r="G14" s="17">
        <f t="shared" si="1"/>
        <v>193.44783734107892</v>
      </c>
      <c r="H14" s="17">
        <f t="shared" si="2"/>
        <v>771.72770912998817</v>
      </c>
      <c r="I14" s="12">
        <v>18.153648800000003</v>
      </c>
      <c r="J14" s="14"/>
      <c r="K14" s="6"/>
      <c r="L14" s="14"/>
    </row>
    <row r="15" spans="1:12" x14ac:dyDescent="0.25">
      <c r="B15" s="10">
        <v>2022</v>
      </c>
      <c r="C15" s="11">
        <v>1329857.3224403893</v>
      </c>
      <c r="D15" s="11">
        <f t="shared" si="0"/>
        <v>67673.057662336883</v>
      </c>
      <c r="E15" s="11">
        <v>1125.7994805194674</v>
      </c>
      <c r="F15" s="17">
        <f>D15+F14</f>
        <v>298465.83948051685</v>
      </c>
      <c r="G15" s="17">
        <f t="shared" si="1"/>
        <v>191.44259535805963</v>
      </c>
      <c r="H15" s="17">
        <f t="shared" si="2"/>
        <v>963.1703044880478</v>
      </c>
      <c r="I15" s="12">
        <v>19.003936800000002</v>
      </c>
      <c r="J15" s="14"/>
      <c r="K15" s="6"/>
      <c r="L15" s="14"/>
    </row>
    <row r="16" spans="1:12" x14ac:dyDescent="0.25">
      <c r="B16" s="10">
        <v>2023</v>
      </c>
      <c r="C16" s="11">
        <v>1371090.8945916586</v>
      </c>
      <c r="D16" s="11">
        <f t="shared" si="0"/>
        <v>71493.352727272722</v>
      </c>
      <c r="E16" s="11">
        <v>1594.6472727272728</v>
      </c>
      <c r="F16" s="17">
        <f t="shared" ref="F16:F22" si="3">D16+F15</f>
        <v>369959.19220778957</v>
      </c>
      <c r="G16" s="17">
        <f t="shared" si="1"/>
        <v>189.16768207180647</v>
      </c>
      <c r="H16" s="17">
        <f t="shared" si="2"/>
        <v>1152.3379865598542</v>
      </c>
      <c r="I16" s="12">
        <v>19.896739199999999</v>
      </c>
      <c r="J16" s="14"/>
      <c r="K16" s="6"/>
      <c r="L16" s="14"/>
    </row>
    <row r="17" spans="2:12" x14ac:dyDescent="0.25">
      <c r="B17" s="10">
        <v>2024</v>
      </c>
      <c r="C17" s="11">
        <v>1412434.5035978679</v>
      </c>
      <c r="D17" s="11">
        <f t="shared" si="0"/>
        <v>75266.857142856112</v>
      </c>
      <c r="E17" s="11">
        <v>2110.2857142856851</v>
      </c>
      <c r="F17" s="17">
        <f t="shared" si="3"/>
        <v>445226.04935064568</v>
      </c>
      <c r="G17" s="17">
        <f t="shared" si="1"/>
        <v>186.75015673696331</v>
      </c>
      <c r="H17" s="17">
        <f t="shared" si="2"/>
        <v>1339.0881432968176</v>
      </c>
      <c r="I17" s="12">
        <v>20.832056000000001</v>
      </c>
      <c r="J17" s="14"/>
      <c r="K17" s="6"/>
      <c r="L17" s="14"/>
    </row>
    <row r="18" spans="2:12" x14ac:dyDescent="0.25">
      <c r="B18" s="10">
        <v>2025</v>
      </c>
      <c r="C18" s="11">
        <v>1453842.0175012546</v>
      </c>
      <c r="D18" s="11">
        <f t="shared" si="0"/>
        <v>78993.570909090646</v>
      </c>
      <c r="E18" s="11">
        <v>2672.7148051947961</v>
      </c>
      <c r="F18" s="17">
        <f t="shared" si="3"/>
        <v>524219.62025973632</v>
      </c>
      <c r="G18" s="17">
        <f t="shared" si="1"/>
        <v>184.34999382468095</v>
      </c>
      <c r="H18" s="17">
        <f t="shared" si="2"/>
        <v>1523.4381371214986</v>
      </c>
      <c r="I18" s="12">
        <v>21.809887199999999</v>
      </c>
      <c r="J18" s="14"/>
      <c r="K18" s="6"/>
      <c r="L18" s="14"/>
    </row>
    <row r="19" spans="2:12" x14ac:dyDescent="0.25">
      <c r="B19" s="10">
        <v>2026</v>
      </c>
      <c r="C19" s="11">
        <v>1495296.6218874408</v>
      </c>
      <c r="D19" s="11">
        <f t="shared" si="0"/>
        <v>82673.494025972745</v>
      </c>
      <c r="E19" s="11">
        <v>3281.9345454544941</v>
      </c>
      <c r="F19" s="17">
        <f t="shared" si="3"/>
        <v>606893.1142857091</v>
      </c>
      <c r="G19" s="17">
        <f t="shared" si="1"/>
        <v>190.5821779008254</v>
      </c>
      <c r="H19" s="17">
        <f t="shared" si="2"/>
        <v>1714.020315022324</v>
      </c>
      <c r="I19" s="12">
        <v>21.809887199999999</v>
      </c>
      <c r="J19" s="14"/>
      <c r="K19" s="6"/>
      <c r="L19" s="14"/>
    </row>
    <row r="20" spans="2:12" x14ac:dyDescent="0.25">
      <c r="B20" s="10">
        <v>2027</v>
      </c>
      <c r="C20" s="11">
        <v>1536770.45903657</v>
      </c>
      <c r="D20" s="11">
        <f t="shared" si="0"/>
        <v>86306.626493505988</v>
      </c>
      <c r="E20" s="11">
        <v>3937.944935064912</v>
      </c>
      <c r="F20" s="17">
        <f t="shared" si="3"/>
        <v>693199.74077921512</v>
      </c>
      <c r="G20" s="17">
        <f t="shared" si="1"/>
        <v>197.1922680582185</v>
      </c>
      <c r="H20" s="17">
        <f t="shared" si="2"/>
        <v>1911.2125830805426</v>
      </c>
      <c r="I20" s="12">
        <v>21.809887199999999</v>
      </c>
      <c r="J20" s="14"/>
      <c r="K20" s="6"/>
      <c r="L20" s="14"/>
    </row>
    <row r="21" spans="2:12" x14ac:dyDescent="0.25">
      <c r="B21" s="10">
        <v>2028</v>
      </c>
      <c r="C21" s="11">
        <v>1578233.9588539612</v>
      </c>
      <c r="D21" s="11">
        <f t="shared" si="0"/>
        <v>89892.968311688572</v>
      </c>
      <c r="E21" s="11">
        <v>4640.7459740259874</v>
      </c>
      <c r="F21" s="17">
        <f t="shared" si="3"/>
        <v>783092.70909090363</v>
      </c>
      <c r="G21" s="17">
        <f t="shared" si="1"/>
        <v>204.31806904756502</v>
      </c>
      <c r="H21" s="17">
        <f t="shared" si="2"/>
        <v>2115.5306521281077</v>
      </c>
      <c r="I21" s="12">
        <v>21.809887199999999</v>
      </c>
      <c r="J21" s="14"/>
      <c r="K21" s="6"/>
      <c r="L21" s="14"/>
    </row>
    <row r="22" spans="2:12" x14ac:dyDescent="0.25">
      <c r="B22" s="10">
        <v>2029</v>
      </c>
      <c r="C22" s="11">
        <v>1619667.6062884759</v>
      </c>
      <c r="D22" s="11">
        <f t="shared" si="0"/>
        <v>93432.51948051872</v>
      </c>
      <c r="E22" s="11">
        <v>5390.3376623376189</v>
      </c>
      <c r="F22" s="17">
        <f t="shared" si="3"/>
        <v>876525.2285714224</v>
      </c>
      <c r="G22" s="17">
        <f t="shared" si="1"/>
        <v>212.09897231438177</v>
      </c>
      <c r="H22" s="17">
        <f t="shared" si="2"/>
        <v>2327.6296244424893</v>
      </c>
      <c r="I22" s="12">
        <v>21.809887199999999</v>
      </c>
      <c r="J22" s="14"/>
      <c r="K22" s="6"/>
      <c r="L22" s="14"/>
    </row>
    <row r="23" spans="2:12" x14ac:dyDescent="0.25">
      <c r="B23" s="10">
        <v>2030</v>
      </c>
      <c r="C23" s="11">
        <v>1661026.0804002865</v>
      </c>
      <c r="D23" s="11">
        <f>D46*$D$2-E23</f>
        <v>96925.28</v>
      </c>
      <c r="E23" s="11">
        <v>6186.72</v>
      </c>
      <c r="F23" s="17">
        <f>D23+F22</f>
        <v>973450.50857142243</v>
      </c>
      <c r="G23" s="17">
        <f t="shared" si="1"/>
        <v>220.7638306942371</v>
      </c>
      <c r="H23" s="17">
        <f t="shared" si="2"/>
        <v>2548.3934551367265</v>
      </c>
      <c r="I23" s="12">
        <v>21.809887199999999</v>
      </c>
      <c r="J23" s="14"/>
      <c r="K23" s="6"/>
      <c r="L23" s="14"/>
    </row>
    <row r="24" spans="2:12" x14ac:dyDescent="0.25">
      <c r="B24" t="s">
        <v>23</v>
      </c>
      <c r="C24" t="s">
        <v>24</v>
      </c>
      <c r="D24" t="s">
        <v>25</v>
      </c>
      <c r="E24" t="s">
        <v>27</v>
      </c>
      <c r="F24" s="5"/>
      <c r="I24" s="5"/>
      <c r="J24" s="5"/>
      <c r="K24" s="13"/>
    </row>
    <row r="25" spans="2:12" x14ac:dyDescent="0.25">
      <c r="B25" t="s">
        <v>32</v>
      </c>
      <c r="F25" s="5"/>
      <c r="I25" s="5"/>
      <c r="J25" s="5"/>
      <c r="K25" s="13"/>
    </row>
    <row r="26" spans="2:12" x14ac:dyDescent="0.25">
      <c r="F26" s="5"/>
      <c r="I26" s="5"/>
      <c r="J26" s="5"/>
      <c r="K26" s="5"/>
    </row>
    <row r="27" spans="2:12" x14ac:dyDescent="0.25">
      <c r="B27" s="32"/>
      <c r="C27" s="33"/>
      <c r="D27" s="33"/>
      <c r="E27" s="68" t="s">
        <v>11</v>
      </c>
      <c r="F27" s="68"/>
      <c r="G27" s="68"/>
      <c r="H27" s="68"/>
      <c r="I27" s="34"/>
      <c r="J27" s="5"/>
      <c r="K27" s="5"/>
    </row>
    <row r="28" spans="2:12" ht="30" x14ac:dyDescent="0.25">
      <c r="B28" s="9" t="s">
        <v>0</v>
      </c>
      <c r="C28" s="30" t="s">
        <v>2</v>
      </c>
      <c r="D28" s="30" t="s">
        <v>2</v>
      </c>
      <c r="E28" s="16"/>
      <c r="F28" s="16" t="s">
        <v>6</v>
      </c>
      <c r="G28" s="16" t="s">
        <v>7</v>
      </c>
      <c r="H28" s="16"/>
      <c r="I28" s="9" t="s">
        <v>4</v>
      </c>
      <c r="J28" s="5"/>
      <c r="K28" s="5"/>
    </row>
    <row r="29" spans="2:12" x14ac:dyDescent="0.25">
      <c r="B29" s="10">
        <v>2013</v>
      </c>
      <c r="C29" s="29">
        <v>28898</v>
      </c>
      <c r="D29" s="29">
        <v>28898</v>
      </c>
      <c r="E29" s="17"/>
      <c r="F29" s="17">
        <f>C6-F6-SUM($E$6:E6)</f>
        <v>1073183.6651212492</v>
      </c>
      <c r="G29" s="17">
        <f>F29*K52/I29</f>
        <v>4488.9048500498293</v>
      </c>
      <c r="H29" s="17"/>
      <c r="I29" s="12">
        <v>14.6</v>
      </c>
      <c r="J29" s="5"/>
      <c r="K29" s="5" t="s">
        <v>21</v>
      </c>
    </row>
    <row r="30" spans="2:12" x14ac:dyDescent="0.25">
      <c r="B30" s="10">
        <v>2014</v>
      </c>
      <c r="C30" s="29">
        <v>28300</v>
      </c>
      <c r="D30" s="29">
        <v>28300</v>
      </c>
      <c r="E30" s="17"/>
      <c r="F30" s="17">
        <f>C7-F7-SUM($E$6:E7)</f>
        <v>976651.16433813574</v>
      </c>
      <c r="G30" s="17">
        <f t="shared" ref="G30:G46" si="4">F30*K53/I30</f>
        <v>4409.1759291458893</v>
      </c>
      <c r="H30" s="17"/>
      <c r="I30" s="12">
        <v>14.6</v>
      </c>
    </row>
    <row r="31" spans="2:12" x14ac:dyDescent="0.25">
      <c r="B31" s="10">
        <v>2015</v>
      </c>
      <c r="C31" s="29">
        <v>37202</v>
      </c>
      <c r="D31" s="29">
        <v>37202</v>
      </c>
      <c r="E31" s="17"/>
      <c r="F31" s="17">
        <f>C8-F8-SUM($E$6:E8)</f>
        <v>1019571.4085290028</v>
      </c>
      <c r="G31" s="17">
        <f t="shared" si="4"/>
        <v>4697.8044143992256</v>
      </c>
      <c r="H31" s="17"/>
      <c r="I31" s="12">
        <v>14.6</v>
      </c>
    </row>
    <row r="32" spans="2:12" x14ac:dyDescent="0.25">
      <c r="B32" s="10">
        <v>2016</v>
      </c>
      <c r="C32" s="29">
        <v>48314</v>
      </c>
      <c r="D32" s="29">
        <v>48314</v>
      </c>
      <c r="E32" s="17"/>
      <c r="F32" s="17">
        <f>C9-F9-SUM($E$6:E9)</f>
        <v>1117970.6924468274</v>
      </c>
      <c r="G32" s="17">
        <f t="shared" si="4"/>
        <v>4861.0155688288969</v>
      </c>
      <c r="H32" s="17"/>
      <c r="I32" s="12">
        <v>14.6</v>
      </c>
    </row>
    <row r="33" spans="1:9" x14ac:dyDescent="0.25">
      <c r="B33" s="10">
        <v>2017</v>
      </c>
      <c r="C33" s="29">
        <v>47353.142857141793</v>
      </c>
      <c r="D33" s="29">
        <v>47353.142857141793</v>
      </c>
      <c r="E33" s="17"/>
      <c r="F33" s="17">
        <f>C10-F10-SUM($E$6:E10)</f>
        <v>1053030.9082251894</v>
      </c>
      <c r="G33" s="17">
        <f t="shared" si="4"/>
        <v>4774.6817019902837</v>
      </c>
      <c r="H33" s="17"/>
      <c r="I33" s="12">
        <v>14.6</v>
      </c>
    </row>
    <row r="34" spans="1:9" x14ac:dyDescent="0.25">
      <c r="A34" s="3" t="s">
        <v>3</v>
      </c>
      <c r="B34" s="10">
        <v>2018</v>
      </c>
      <c r="C34" s="29">
        <v>51642.285714285448</v>
      </c>
      <c r="D34" s="29">
        <v>51642.285714285448</v>
      </c>
      <c r="E34" s="17"/>
      <c r="F34" s="17">
        <f>C11-F11-SUM($E$6:E11)</f>
        <v>1114743.4259252562</v>
      </c>
      <c r="G34" s="17">
        <f t="shared" si="4"/>
        <v>4572.9047607923612</v>
      </c>
      <c r="H34" s="17"/>
      <c r="I34" s="12">
        <v>14.6</v>
      </c>
    </row>
    <row r="35" spans="1:9" x14ac:dyDescent="0.25">
      <c r="B35" s="10">
        <v>2019</v>
      </c>
      <c r="C35" s="29">
        <v>55931.428571427241</v>
      </c>
      <c r="D35" s="29">
        <v>55931.428571427241</v>
      </c>
      <c r="E35" s="17"/>
      <c r="F35" s="17">
        <f>C12-F12-SUM($E$6:E12)</f>
        <v>1099417.8719054374</v>
      </c>
      <c r="G35" s="17">
        <f t="shared" si="4"/>
        <v>4374.8827982689982</v>
      </c>
      <c r="H35" s="17"/>
      <c r="I35" s="12">
        <v>14.6</v>
      </c>
    </row>
    <row r="36" spans="1:9" x14ac:dyDescent="0.25">
      <c r="B36" s="10">
        <v>2020</v>
      </c>
      <c r="C36" s="29">
        <v>60220.571428570896</v>
      </c>
      <c r="D36" s="29">
        <v>60220.571428570896</v>
      </c>
      <c r="E36" s="17"/>
      <c r="F36" s="17">
        <f>C13-F13-SUM($E$6:E13)</f>
        <v>1079989.8456410582</v>
      </c>
      <c r="G36" s="17">
        <f t="shared" si="4"/>
        <v>4178.1480588033037</v>
      </c>
      <c r="H36" s="17"/>
      <c r="I36" s="12">
        <v>14.6</v>
      </c>
    </row>
    <row r="37" spans="1:9" x14ac:dyDescent="0.25">
      <c r="B37" s="10">
        <v>2021</v>
      </c>
      <c r="C37" s="29">
        <v>64509.714285714552</v>
      </c>
      <c r="D37" s="29">
        <v>64509.714285714552</v>
      </c>
      <c r="E37" s="17"/>
      <c r="F37" s="17">
        <f>C14-F14-SUM($E$6:E14)</f>
        <v>1056444.2711188979</v>
      </c>
      <c r="G37" s="17">
        <f t="shared" si="4"/>
        <v>3982.5406391933921</v>
      </c>
      <c r="H37" s="17"/>
      <c r="I37" s="12">
        <v>14.6</v>
      </c>
    </row>
    <row r="38" spans="1:9" x14ac:dyDescent="0.25">
      <c r="B38" s="10">
        <v>2022</v>
      </c>
      <c r="C38" s="29">
        <v>68798.857142856345</v>
      </c>
      <c r="D38" s="29">
        <v>68798.857142856345</v>
      </c>
      <c r="E38" s="17"/>
      <c r="F38" s="17">
        <f>C15-F15-SUM($E$6:E15)</f>
        <v>1028754.4652975348</v>
      </c>
      <c r="G38" s="17">
        <f t="shared" si="4"/>
        <v>3788.1330883649971</v>
      </c>
      <c r="H38" s="17"/>
      <c r="I38" s="12">
        <v>14.6</v>
      </c>
    </row>
    <row r="39" spans="1:9" x14ac:dyDescent="0.25">
      <c r="B39" s="10">
        <v>2023</v>
      </c>
      <c r="C39" s="29">
        <v>73088</v>
      </c>
      <c r="D39" s="29">
        <v>73088</v>
      </c>
      <c r="E39" s="17"/>
      <c r="F39" s="17">
        <f>C16-F16-SUM($E$6:E16)</f>
        <v>996900.03744880413</v>
      </c>
      <c r="G39" s="17">
        <f t="shared" si="4"/>
        <v>3594.6941276091529</v>
      </c>
      <c r="H39" s="17"/>
      <c r="I39" s="12">
        <v>14.6</v>
      </c>
    </row>
    <row r="40" spans="1:9" x14ac:dyDescent="0.25">
      <c r="B40" s="10">
        <v>2024</v>
      </c>
      <c r="C40" s="29">
        <v>77377.142857141793</v>
      </c>
      <c r="D40" s="29">
        <v>77377.142857141793</v>
      </c>
      <c r="E40" s="17"/>
      <c r="F40" s="17">
        <f>C17-F17-SUM($E$6:E17)</f>
        <v>960866.50359787163</v>
      </c>
      <c r="G40" s="17">
        <f t="shared" si="4"/>
        <v>3401.7275357727162</v>
      </c>
      <c r="H40" s="17"/>
      <c r="I40" s="12">
        <v>14.6</v>
      </c>
    </row>
    <row r="41" spans="1:9" x14ac:dyDescent="0.25">
      <c r="B41" s="10">
        <v>2025</v>
      </c>
      <c r="C41" s="29">
        <v>81666.285714285448</v>
      </c>
      <c r="D41" s="29">
        <v>81666.285714285448</v>
      </c>
      <c r="E41" s="17"/>
      <c r="F41" s="17">
        <f>C18-F18-SUM($E$6:E18)</f>
        <v>920607.73178697284</v>
      </c>
      <c r="G41" s="17">
        <f t="shared" si="4"/>
        <v>3209.4200578255795</v>
      </c>
      <c r="H41" s="17"/>
      <c r="I41" s="12">
        <v>14.6</v>
      </c>
    </row>
    <row r="42" spans="1:9" x14ac:dyDescent="0.25">
      <c r="B42" s="10">
        <v>2026</v>
      </c>
      <c r="C42" s="29">
        <v>85955.428571427241</v>
      </c>
      <c r="D42" s="29">
        <v>85955.428571427241</v>
      </c>
      <c r="E42" s="17"/>
      <c r="F42" s="17">
        <f>C19-F19-SUM($E$6:E19)</f>
        <v>876106.90760173183</v>
      </c>
      <c r="G42" s="17">
        <f t="shared" si="4"/>
        <v>3016.9885445153573</v>
      </c>
      <c r="H42" s="17"/>
      <c r="I42" s="12">
        <v>14.6</v>
      </c>
    </row>
    <row r="43" spans="1:9" x14ac:dyDescent="0.25">
      <c r="B43" s="10">
        <v>2027</v>
      </c>
      <c r="C43" s="29">
        <v>90244.571428570896</v>
      </c>
      <c r="D43" s="29">
        <v>90244.571428570896</v>
      </c>
      <c r="E43" s="17"/>
      <c r="F43" s="17">
        <f>C20-F20-SUM($E$6:E20)</f>
        <v>827336.17332229007</v>
      </c>
      <c r="G43" s="17">
        <f t="shared" si="4"/>
        <v>2823.7634828396308</v>
      </c>
      <c r="H43" s="17"/>
      <c r="I43" s="12">
        <v>14.6</v>
      </c>
    </row>
    <row r="44" spans="1:9" x14ac:dyDescent="0.25">
      <c r="B44" s="10">
        <v>2028</v>
      </c>
      <c r="C44" s="29">
        <v>94533.714285714552</v>
      </c>
      <c r="D44" s="29">
        <v>94533.714285714552</v>
      </c>
      <c r="E44" s="17"/>
      <c r="F44" s="17">
        <f>C21-F21-SUM($E$6:E21)</f>
        <v>774265.95885396679</v>
      </c>
      <c r="G44" s="17">
        <f t="shared" si="4"/>
        <v>2628.8861810769477</v>
      </c>
      <c r="H44" s="17"/>
      <c r="I44" s="12">
        <v>14.6</v>
      </c>
    </row>
    <row r="45" spans="1:9" x14ac:dyDescent="0.25">
      <c r="B45" s="10">
        <v>2029</v>
      </c>
      <c r="C45" s="29">
        <v>98822.857142856345</v>
      </c>
      <c r="D45" s="29">
        <v>98822.857142856345</v>
      </c>
      <c r="E45" s="17"/>
      <c r="F45" s="17">
        <f>C22-F22-SUM($E$6:E22)</f>
        <v>716876.74914562516</v>
      </c>
      <c r="G45" s="17">
        <f t="shared" si="4"/>
        <v>2431.0033800523147</v>
      </c>
      <c r="H45" s="17"/>
      <c r="I45" s="12">
        <v>14.6</v>
      </c>
    </row>
    <row r="46" spans="1:9" x14ac:dyDescent="0.25">
      <c r="B46" s="10">
        <v>2030</v>
      </c>
      <c r="C46" s="29">
        <v>103112</v>
      </c>
      <c r="D46" s="29">
        <v>103112</v>
      </c>
      <c r="E46" s="17"/>
      <c r="F46" s="17">
        <f>C23-F23-SUM($E$6:E23)</f>
        <v>655123.2232574356</v>
      </c>
      <c r="G46" s="17">
        <f t="shared" si="4"/>
        <v>2229.0223114014148</v>
      </c>
      <c r="H46" s="17"/>
      <c r="I46" s="12">
        <v>14.6</v>
      </c>
    </row>
    <row r="50" spans="1:15" x14ac:dyDescent="0.25">
      <c r="B50" s="68" t="s">
        <v>13</v>
      </c>
      <c r="C50" s="68"/>
      <c r="D50" s="68"/>
      <c r="E50" s="68"/>
      <c r="F50" s="68"/>
      <c r="G50" s="68"/>
      <c r="H50" s="68"/>
      <c r="I50" s="68"/>
      <c r="J50" s="68"/>
      <c r="K50" s="68"/>
    </row>
    <row r="51" spans="1:15" ht="54" x14ac:dyDescent="0.25">
      <c r="B51" s="9" t="s">
        <v>0</v>
      </c>
      <c r="C51" s="19" t="s">
        <v>30</v>
      </c>
      <c r="D51" s="9" t="s">
        <v>1</v>
      </c>
      <c r="E51" s="16" t="s">
        <v>6</v>
      </c>
      <c r="F51" s="16" t="s">
        <v>19</v>
      </c>
      <c r="G51" s="9" t="s">
        <v>14</v>
      </c>
      <c r="H51" s="9" t="s">
        <v>15</v>
      </c>
      <c r="I51" s="16" t="s">
        <v>18</v>
      </c>
      <c r="J51" s="16" t="s">
        <v>16</v>
      </c>
      <c r="K51" s="16" t="s">
        <v>12</v>
      </c>
    </row>
    <row r="52" spans="1:15" x14ac:dyDescent="0.25">
      <c r="B52" s="10">
        <v>2013</v>
      </c>
      <c r="C52" s="11">
        <v>4488.9048500498293</v>
      </c>
      <c r="D52" s="11">
        <v>1073183.6651212492</v>
      </c>
      <c r="E52" s="17">
        <f>F29</f>
        <v>1073183.6651212492</v>
      </c>
      <c r="F52" s="17"/>
      <c r="G52" s="21">
        <v>14.6</v>
      </c>
      <c r="H52" s="21"/>
      <c r="I52" s="17"/>
      <c r="J52" s="17"/>
      <c r="K52" s="31">
        <v>6.1068774097789651E-2</v>
      </c>
    </row>
    <row r="53" spans="1:15" x14ac:dyDescent="0.25">
      <c r="B53" s="10">
        <v>2014</v>
      </c>
      <c r="C53" s="11">
        <v>4409.1759291458902</v>
      </c>
      <c r="D53" s="11">
        <v>976651.16433813574</v>
      </c>
      <c r="E53" s="17">
        <f t="shared" ref="E53:E69" si="5">F30</f>
        <v>976651.16433813574</v>
      </c>
      <c r="F53" s="17"/>
      <c r="G53" s="21">
        <v>14.6</v>
      </c>
      <c r="H53" s="21"/>
      <c r="I53" s="17"/>
      <c r="J53" s="17"/>
      <c r="K53" s="31">
        <v>6.5912959423086767E-2</v>
      </c>
    </row>
    <row r="54" spans="1:15" x14ac:dyDescent="0.25">
      <c r="B54" s="10">
        <v>2015</v>
      </c>
      <c r="C54" s="11">
        <v>4697.8044143992256</v>
      </c>
      <c r="D54" s="11">
        <v>1019571.4085290028</v>
      </c>
      <c r="E54" s="17">
        <f t="shared" si="5"/>
        <v>1019571.4085290028</v>
      </c>
      <c r="F54" s="17"/>
      <c r="G54" s="21">
        <v>14.6</v>
      </c>
      <c r="H54" s="21"/>
      <c r="I54" s="17"/>
      <c r="J54" s="17"/>
      <c r="K54" s="31">
        <v>6.7271349389038532E-2</v>
      </c>
    </row>
    <row r="55" spans="1:15" x14ac:dyDescent="0.25">
      <c r="B55" s="10">
        <v>2016</v>
      </c>
      <c r="C55" s="11">
        <v>4861.015568828896</v>
      </c>
      <c r="D55" s="11">
        <v>1117970.6924468274</v>
      </c>
      <c r="E55" s="17">
        <f t="shared" si="5"/>
        <v>1117970.6924468274</v>
      </c>
      <c r="F55" s="17"/>
      <c r="G55" s="21">
        <v>14.6</v>
      </c>
      <c r="H55" s="21"/>
      <c r="I55" s="17"/>
      <c r="J55" s="17"/>
      <c r="K55" s="31">
        <v>6.3481831665526761E-2</v>
      </c>
    </row>
    <row r="56" spans="1:15" x14ac:dyDescent="0.25">
      <c r="B56" s="10">
        <v>2017</v>
      </c>
      <c r="C56" s="11">
        <v>4774.6817019902828</v>
      </c>
      <c r="D56" s="11">
        <v>1053030.9082251894</v>
      </c>
      <c r="E56" s="17">
        <f t="shared" si="5"/>
        <v>1053030.9082251894</v>
      </c>
      <c r="F56" s="17"/>
      <c r="G56" s="21">
        <v>14.6</v>
      </c>
      <c r="H56" s="21">
        <v>14.6</v>
      </c>
      <c r="I56" s="17">
        <f>F56*K56/H56</f>
        <v>0</v>
      </c>
      <c r="J56" s="17"/>
      <c r="K56" s="31">
        <v>6.6199721493977889E-2</v>
      </c>
    </row>
    <row r="57" spans="1:15" x14ac:dyDescent="0.25">
      <c r="A57" s="3" t="s">
        <v>3</v>
      </c>
      <c r="B57" s="10">
        <v>2018</v>
      </c>
      <c r="C57" s="11">
        <v>4784.7519434793039</v>
      </c>
      <c r="D57" s="11">
        <v>1166385.7116395417</v>
      </c>
      <c r="E57" s="17">
        <f t="shared" si="5"/>
        <v>1114743.4259252562</v>
      </c>
      <c r="F57" s="17">
        <f>D11</f>
        <v>51443.285714285448</v>
      </c>
      <c r="G57" s="21">
        <v>14.6</v>
      </c>
      <c r="H57" s="21">
        <v>16.155472</v>
      </c>
      <c r="I57" s="17">
        <f t="shared" ref="I57:I69" si="6">F57*K57/H57</f>
        <v>190.7124919777599</v>
      </c>
      <c r="J57" s="20">
        <f>J56+I56</f>
        <v>0</v>
      </c>
      <c r="K57" s="22">
        <v>5.9892176042350614E-2</v>
      </c>
      <c r="L57" s="2">
        <f t="shared" ref="L57:L65" si="7">E57*K57/G57</f>
        <v>4572.9047607923612</v>
      </c>
      <c r="M57" s="2">
        <f t="shared" ref="M57:M65" si="8">F57*K57/H57</f>
        <v>190.7124919777599</v>
      </c>
      <c r="N57" s="2">
        <f>L57+SUM($M$57:M57)</f>
        <v>4763.617252770121</v>
      </c>
      <c r="O57" s="2">
        <f>N57-L57</f>
        <v>190.71249197775978</v>
      </c>
    </row>
    <row r="58" spans="1:15" x14ac:dyDescent="0.25">
      <c r="B58" s="10">
        <v>2019</v>
      </c>
      <c r="C58" s="11">
        <v>4809.2963508437269</v>
      </c>
      <c r="D58" s="11">
        <v>1206991.5861911501</v>
      </c>
      <c r="E58" s="17">
        <f t="shared" si="5"/>
        <v>1099417.8719054374</v>
      </c>
      <c r="F58" s="17">
        <f t="shared" ref="F58:F69" si="9">D12</f>
        <v>55651.428571427241</v>
      </c>
      <c r="G58" s="21">
        <v>14.6</v>
      </c>
      <c r="H58" s="21">
        <v>16.750673599999999</v>
      </c>
      <c r="I58" s="17">
        <f t="shared" si="6"/>
        <v>193.01920707600496</v>
      </c>
      <c r="J58" s="20">
        <f t="shared" ref="J58:J69" si="10">J57+I57</f>
        <v>190.7124919777599</v>
      </c>
      <c r="K58" s="22">
        <v>5.8097371788241418E-2</v>
      </c>
      <c r="L58" s="2">
        <f t="shared" si="7"/>
        <v>4374.8827982689982</v>
      </c>
      <c r="M58" s="2">
        <f t="shared" si="8"/>
        <v>193.01920707600496</v>
      </c>
      <c r="N58" s="2">
        <f>L58+SUM($M$57:M58)</f>
        <v>4758.6144973227629</v>
      </c>
      <c r="O58" s="2">
        <f t="shared" ref="O58:O69" si="11">N58-L58</f>
        <v>383.73169905376471</v>
      </c>
    </row>
    <row r="59" spans="1:15" s="14" customFormat="1" x14ac:dyDescent="0.25">
      <c r="B59" s="10">
        <v>2020</v>
      </c>
      <c r="C59" s="11">
        <v>4845.536453345142</v>
      </c>
      <c r="D59" s="11">
        <v>1247784.1313553418</v>
      </c>
      <c r="E59" s="17">
        <f t="shared" si="5"/>
        <v>1079989.8456410582</v>
      </c>
      <c r="F59" s="17">
        <f t="shared" si="9"/>
        <v>59892.095584415052</v>
      </c>
      <c r="G59" s="21">
        <v>14.6</v>
      </c>
      <c r="H59" s="21">
        <v>17.3883896</v>
      </c>
      <c r="I59" s="17">
        <f t="shared" si="6"/>
        <v>194.54817273514453</v>
      </c>
      <c r="J59" s="20">
        <f t="shared" si="10"/>
        <v>383.73169905376483</v>
      </c>
      <c r="K59" s="22">
        <v>5.6482902968702828E-2</v>
      </c>
      <c r="L59" s="8">
        <f t="shared" si="7"/>
        <v>4178.1480588033037</v>
      </c>
      <c r="M59" s="8">
        <f t="shared" si="8"/>
        <v>194.54817273514453</v>
      </c>
      <c r="N59" s="8">
        <f>L59+SUM($M$57:M59)</f>
        <v>4756.4279305922128</v>
      </c>
      <c r="O59" s="8">
        <f t="shared" si="11"/>
        <v>578.27987178890908</v>
      </c>
    </row>
    <row r="60" spans="1:15" x14ac:dyDescent="0.25">
      <c r="B60" s="10">
        <v>2021</v>
      </c>
      <c r="C60" s="11">
        <v>4893.1151305214926</v>
      </c>
      <c r="D60" s="11">
        <v>1288748.2711188961</v>
      </c>
      <c r="E60" s="17">
        <f t="shared" si="5"/>
        <v>1056444.2711188979</v>
      </c>
      <c r="F60" s="17">
        <f t="shared" si="9"/>
        <v>63805.971948052211</v>
      </c>
      <c r="G60" s="21">
        <v>14.6</v>
      </c>
      <c r="H60" s="21">
        <v>18.153648800000003</v>
      </c>
      <c r="I60" s="17">
        <f t="shared" si="6"/>
        <v>193.44783734107892</v>
      </c>
      <c r="J60" s="20">
        <f t="shared" si="10"/>
        <v>578.2798717889093</v>
      </c>
      <c r="K60" s="22">
        <v>5.5038486100777537E-2</v>
      </c>
      <c r="L60" s="2">
        <f t="shared" si="7"/>
        <v>3982.5406391933921</v>
      </c>
      <c r="M60" s="2">
        <f t="shared" si="8"/>
        <v>193.44783734107892</v>
      </c>
      <c r="N60" s="2">
        <f>L60+SUM($M$57:M60)</f>
        <v>4754.2683483233805</v>
      </c>
      <c r="O60" s="2">
        <f t="shared" si="11"/>
        <v>771.7277091299884</v>
      </c>
    </row>
    <row r="61" spans="1:15" x14ac:dyDescent="0.25">
      <c r="B61" s="10">
        <v>2022</v>
      </c>
      <c r="C61" s="11">
        <v>4952.0423023853336</v>
      </c>
      <c r="D61" s="11">
        <v>1329857.3224403893</v>
      </c>
      <c r="E61" s="17">
        <f t="shared" si="5"/>
        <v>1028754.4652975348</v>
      </c>
      <c r="F61" s="17">
        <f t="shared" si="9"/>
        <v>67673.057662336883</v>
      </c>
      <c r="G61" s="21">
        <v>14.6</v>
      </c>
      <c r="H61" s="21">
        <v>19.003936800000002</v>
      </c>
      <c r="I61" s="17">
        <f t="shared" si="6"/>
        <v>191.44259535805963</v>
      </c>
      <c r="J61" s="20">
        <f t="shared" si="10"/>
        <v>771.72770912998817</v>
      </c>
      <c r="K61" s="22">
        <v>5.3760877795201813E-2</v>
      </c>
      <c r="L61" s="2">
        <f t="shared" si="7"/>
        <v>3788.1330883649971</v>
      </c>
      <c r="M61" s="2">
        <f t="shared" si="8"/>
        <v>191.44259535805963</v>
      </c>
      <c r="N61" s="2">
        <f>L61+SUM($M$57:M61)</f>
        <v>4751.3033928530449</v>
      </c>
      <c r="O61" s="2">
        <f t="shared" si="11"/>
        <v>963.1703044880478</v>
      </c>
    </row>
    <row r="62" spans="1:15" x14ac:dyDescent="0.25">
      <c r="B62" s="10">
        <v>2023</v>
      </c>
      <c r="C62" s="11">
        <v>5022.1493287186813</v>
      </c>
      <c r="D62" s="11">
        <v>1371090.8945916586</v>
      </c>
      <c r="E62" s="17">
        <f t="shared" si="5"/>
        <v>996900.03744880413</v>
      </c>
      <c r="F62" s="17">
        <f t="shared" si="9"/>
        <v>71493.352727272722</v>
      </c>
      <c r="G62" s="21">
        <v>14.6</v>
      </c>
      <c r="H62" s="21">
        <v>19.896739199999999</v>
      </c>
      <c r="I62" s="17">
        <f t="shared" si="6"/>
        <v>189.16768207180647</v>
      </c>
      <c r="J62" s="20">
        <f>J61+I61</f>
        <v>963.1703044880478</v>
      </c>
      <c r="K62" s="22">
        <v>5.2645734067182107E-2</v>
      </c>
      <c r="L62" s="2">
        <f t="shared" si="7"/>
        <v>3594.6941276091529</v>
      </c>
      <c r="M62" s="2">
        <f t="shared" si="8"/>
        <v>189.16768207180647</v>
      </c>
      <c r="N62" s="2">
        <f>L62+SUM($M$57:M62)</f>
        <v>4747.0321141690074</v>
      </c>
      <c r="O62" s="2">
        <f t="shared" si="11"/>
        <v>1152.3379865598545</v>
      </c>
    </row>
    <row r="63" spans="1:15" x14ac:dyDescent="0.25">
      <c r="B63" s="10">
        <v>2024</v>
      </c>
      <c r="C63" s="11">
        <v>5103.1187691104178</v>
      </c>
      <c r="D63" s="11">
        <v>1412434.5035978679</v>
      </c>
      <c r="E63" s="17">
        <f t="shared" si="5"/>
        <v>960866.50359787163</v>
      </c>
      <c r="F63" s="17">
        <f t="shared" si="9"/>
        <v>75266.857142856112</v>
      </c>
      <c r="G63" s="21">
        <v>14.6</v>
      </c>
      <c r="H63" s="21">
        <v>20.832056000000001</v>
      </c>
      <c r="I63" s="17">
        <f t="shared" si="6"/>
        <v>186.75015673696331</v>
      </c>
      <c r="J63" s="20">
        <f t="shared" si="10"/>
        <v>1152.3379865598542</v>
      </c>
      <c r="K63" s="22">
        <v>5.1687952318365801E-2</v>
      </c>
      <c r="L63" s="2">
        <f t="shared" si="7"/>
        <v>3401.7275357727162</v>
      </c>
      <c r="M63" s="2">
        <f t="shared" si="8"/>
        <v>186.75015673696331</v>
      </c>
      <c r="N63" s="2">
        <f>L63+SUM($M$57:M63)</f>
        <v>4740.8156790695339</v>
      </c>
      <c r="O63" s="2">
        <f t="shared" si="11"/>
        <v>1339.0881432968176</v>
      </c>
    </row>
    <row r="64" spans="1:15" x14ac:dyDescent="0.25">
      <c r="B64" s="10">
        <v>2025</v>
      </c>
      <c r="C64" s="11">
        <v>5195.5160642926385</v>
      </c>
      <c r="D64" s="11">
        <v>1453842.0175012546</v>
      </c>
      <c r="E64" s="17">
        <f t="shared" si="5"/>
        <v>920607.73178697284</v>
      </c>
      <c r="F64" s="17">
        <f t="shared" si="9"/>
        <v>78993.570909090646</v>
      </c>
      <c r="G64" s="21">
        <v>14.6</v>
      </c>
      <c r="H64" s="21">
        <v>21.809887199999999</v>
      </c>
      <c r="I64" s="17">
        <f t="shared" si="6"/>
        <v>184.34999382468095</v>
      </c>
      <c r="J64" s="20">
        <f t="shared" si="10"/>
        <v>1339.0881432968176</v>
      </c>
      <c r="K64" s="22">
        <v>5.089847850104328E-2</v>
      </c>
      <c r="L64" s="2">
        <f t="shared" si="7"/>
        <v>3209.4200578255795</v>
      </c>
      <c r="M64" s="2">
        <f t="shared" si="8"/>
        <v>184.34999382468095</v>
      </c>
      <c r="N64" s="2">
        <f>L64+SUM($M$57:M64)</f>
        <v>4732.8581949470781</v>
      </c>
      <c r="O64" s="2">
        <f t="shared" si="11"/>
        <v>1523.4381371214986</v>
      </c>
    </row>
    <row r="65" spans="2:15" x14ac:dyDescent="0.25">
      <c r="B65" s="10">
        <v>2026</v>
      </c>
      <c r="C65" s="11">
        <v>5299.0832939312513</v>
      </c>
      <c r="D65" s="11">
        <v>1495296.6218874408</v>
      </c>
      <c r="E65" s="17">
        <f t="shared" si="5"/>
        <v>876106.90760173183</v>
      </c>
      <c r="F65" s="17">
        <f t="shared" si="9"/>
        <v>82673.494025972745</v>
      </c>
      <c r="G65" s="21">
        <v>14.6</v>
      </c>
      <c r="H65" s="21">
        <v>21.809887199999999</v>
      </c>
      <c r="I65" s="17">
        <f t="shared" si="6"/>
        <v>190.5821779008254</v>
      </c>
      <c r="J65" s="20">
        <f t="shared" si="10"/>
        <v>1523.4381371214986</v>
      </c>
      <c r="K65" s="22">
        <v>5.0277006570467471E-2</v>
      </c>
      <c r="L65" s="2">
        <f t="shared" si="7"/>
        <v>3016.9885445153573</v>
      </c>
      <c r="M65" s="2">
        <f t="shared" si="8"/>
        <v>190.5821779008254</v>
      </c>
      <c r="N65" s="2">
        <f>L65+SUM($M$57:M65)</f>
        <v>4731.008859537681</v>
      </c>
      <c r="O65" s="2">
        <f t="shared" si="11"/>
        <v>1714.0203150223238</v>
      </c>
    </row>
    <row r="66" spans="2:15" x14ac:dyDescent="0.25">
      <c r="B66" s="10">
        <v>2027</v>
      </c>
      <c r="C66" s="11">
        <v>5413.8700580907316</v>
      </c>
      <c r="D66" s="11">
        <v>1536770.45903657</v>
      </c>
      <c r="E66" s="17">
        <f t="shared" si="5"/>
        <v>827336.17332229007</v>
      </c>
      <c r="F66" s="17">
        <f t="shared" si="9"/>
        <v>86306.626493505988</v>
      </c>
      <c r="G66" s="21">
        <v>14.6</v>
      </c>
      <c r="H66" s="21">
        <v>21.809887199999999</v>
      </c>
      <c r="I66" s="17">
        <f t="shared" si="6"/>
        <v>197.1922680582185</v>
      </c>
      <c r="J66" s="20">
        <f t="shared" si="10"/>
        <v>1714.020315022324</v>
      </c>
      <c r="K66" s="22">
        <v>4.9830949230596E-2</v>
      </c>
      <c r="L66" s="2">
        <f>E66*K66/G66</f>
        <v>2823.7634828396308</v>
      </c>
      <c r="M66" s="2">
        <f>F66*K66/H66</f>
        <v>197.1922680582185</v>
      </c>
      <c r="N66" s="2">
        <f>L66+SUM($M$57:M66)</f>
        <v>4734.9760659201729</v>
      </c>
      <c r="O66" s="2">
        <f t="shared" si="11"/>
        <v>1911.2125830805421</v>
      </c>
    </row>
    <row r="67" spans="2:15" x14ac:dyDescent="0.25">
      <c r="B67" s="10">
        <v>2028</v>
      </c>
      <c r="C67" s="11">
        <v>5539.9656368863471</v>
      </c>
      <c r="D67" s="11">
        <v>1578233.9588539612</v>
      </c>
      <c r="E67" s="17">
        <f t="shared" si="5"/>
        <v>774265.95885396679</v>
      </c>
      <c r="F67" s="17">
        <f t="shared" si="9"/>
        <v>89892.968311688572</v>
      </c>
      <c r="G67" s="21">
        <v>14.6</v>
      </c>
      <c r="H67" s="21">
        <v>21.809887199999999</v>
      </c>
      <c r="I67" s="17">
        <f t="shared" si="6"/>
        <v>204.31806904756502</v>
      </c>
      <c r="J67" s="20">
        <f t="shared" si="10"/>
        <v>1911.2125830805426</v>
      </c>
      <c r="K67" s="22">
        <v>4.9571775440746917E-2</v>
      </c>
      <c r="L67" s="2">
        <f t="shared" ref="L67:L69" si="12">E67*K67/G67</f>
        <v>2628.8861810769477</v>
      </c>
      <c r="M67" s="2">
        <f t="shared" ref="M67:M69" si="13">F67*K67/H67</f>
        <v>204.31806904756502</v>
      </c>
      <c r="N67" s="2">
        <f>L67+SUM($M$57:M67)</f>
        <v>4744.4168332050558</v>
      </c>
      <c r="O67" s="2">
        <f t="shared" si="11"/>
        <v>2115.5306521281082</v>
      </c>
    </row>
    <row r="68" spans="2:15" x14ac:dyDescent="0.25">
      <c r="B68" s="10">
        <v>2029</v>
      </c>
      <c r="C68" s="11">
        <v>5677.2013900999818</v>
      </c>
      <c r="D68" s="11">
        <v>1619667.6062884759</v>
      </c>
      <c r="E68" s="17">
        <f t="shared" si="5"/>
        <v>716876.74914562516</v>
      </c>
      <c r="F68" s="17">
        <f t="shared" si="9"/>
        <v>93432.51948051872</v>
      </c>
      <c r="G68" s="21">
        <v>14.6</v>
      </c>
      <c r="H68" s="21">
        <v>21.809887199999999</v>
      </c>
      <c r="I68" s="17">
        <f t="shared" si="6"/>
        <v>212.09897231438177</v>
      </c>
      <c r="J68" s="20">
        <f t="shared" si="10"/>
        <v>2115.5306521281077</v>
      </c>
      <c r="K68" s="22">
        <v>4.9510113685600751E-2</v>
      </c>
      <c r="L68" s="2">
        <f t="shared" si="12"/>
        <v>2431.0033800523147</v>
      </c>
      <c r="M68" s="2">
        <f t="shared" si="13"/>
        <v>212.09897231438177</v>
      </c>
      <c r="N68" s="2">
        <f>L68+SUM($M$57:M68)</f>
        <v>4758.6330044948045</v>
      </c>
      <c r="O68" s="2">
        <f t="shared" si="11"/>
        <v>2327.6296244424898</v>
      </c>
    </row>
    <row r="69" spans="2:15" x14ac:dyDescent="0.25">
      <c r="B69" s="10">
        <v>2030</v>
      </c>
      <c r="C69" s="11">
        <v>5826.0534783480334</v>
      </c>
      <c r="D69" s="11">
        <v>1661026.0804002865</v>
      </c>
      <c r="E69" s="17">
        <f t="shared" si="5"/>
        <v>655123.2232574356</v>
      </c>
      <c r="F69" s="17">
        <f t="shared" si="9"/>
        <v>96925.28</v>
      </c>
      <c r="G69" s="21">
        <v>14.6</v>
      </c>
      <c r="H69" s="21">
        <v>21.809887199999999</v>
      </c>
      <c r="I69" s="17">
        <f t="shared" si="6"/>
        <v>220.7638306942371</v>
      </c>
      <c r="J69" s="20">
        <f t="shared" si="10"/>
        <v>2327.6296244424893</v>
      </c>
      <c r="K69" s="22">
        <v>4.9675732123561661E-2</v>
      </c>
      <c r="L69" s="2">
        <f t="shared" si="12"/>
        <v>2229.0223114014148</v>
      </c>
      <c r="M69" s="2">
        <f t="shared" si="13"/>
        <v>220.7638306942371</v>
      </c>
      <c r="N69" s="2">
        <f>L69+SUM($M$57:M69)</f>
        <v>4777.4157665381408</v>
      </c>
      <c r="O69" s="2">
        <f t="shared" si="11"/>
        <v>2548.3934551367261</v>
      </c>
    </row>
    <row r="70" spans="2:15" x14ac:dyDescent="0.25">
      <c r="B70" t="s">
        <v>23</v>
      </c>
      <c r="C70" t="s">
        <v>24</v>
      </c>
      <c r="D70" t="s">
        <v>25</v>
      </c>
      <c r="E70" t="s">
        <v>27</v>
      </c>
    </row>
    <row r="72" spans="2:15" ht="18" x14ac:dyDescent="0.35">
      <c r="E72" s="1"/>
      <c r="F72" s="3" t="s">
        <v>70</v>
      </c>
    </row>
    <row r="73" spans="2:15" ht="38.25" x14ac:dyDescent="0.25">
      <c r="B73" s="24" t="s">
        <v>0</v>
      </c>
      <c r="C73" s="24" t="s">
        <v>1</v>
      </c>
      <c r="D73" s="25" t="s">
        <v>5</v>
      </c>
      <c r="E73" s="25" t="s">
        <v>6</v>
      </c>
      <c r="F73" s="23" t="s">
        <v>71</v>
      </c>
      <c r="G73" s="25" t="s">
        <v>72</v>
      </c>
      <c r="H73" s="25" t="s">
        <v>73</v>
      </c>
      <c r="I73" s="25" t="s">
        <v>74</v>
      </c>
    </row>
    <row r="74" spans="2:15" x14ac:dyDescent="0.25">
      <c r="B74" s="26">
        <v>2013</v>
      </c>
      <c r="C74" s="27">
        <v>1073183.6651212492</v>
      </c>
      <c r="D74" s="28"/>
      <c r="E74" s="28">
        <f>F29</f>
        <v>1073183.6651212492</v>
      </c>
      <c r="F74" s="27">
        <v>4488.9048500498293</v>
      </c>
      <c r="G74" s="28">
        <f>H6</f>
        <v>0</v>
      </c>
      <c r="H74" s="28">
        <f>G29</f>
        <v>4488.9048500498293</v>
      </c>
      <c r="I74" s="28">
        <f>G74+H74</f>
        <v>4488.9048500498293</v>
      </c>
    </row>
    <row r="75" spans="2:15" x14ac:dyDescent="0.25">
      <c r="B75" s="26">
        <v>2014</v>
      </c>
      <c r="C75" s="27">
        <v>976651.16433813574</v>
      </c>
      <c r="D75" s="28"/>
      <c r="E75" s="28">
        <f t="shared" ref="E75:E91" si="14">F30</f>
        <v>976651.16433813574</v>
      </c>
      <c r="F75" s="27">
        <v>4409.1759291458902</v>
      </c>
      <c r="G75" s="28">
        <f t="shared" ref="G75:G91" si="15">H7</f>
        <v>0</v>
      </c>
      <c r="H75" s="28">
        <f t="shared" ref="H75:H91" si="16">G30</f>
        <v>4409.1759291458893</v>
      </c>
      <c r="I75" s="28">
        <f t="shared" ref="I75:I91" si="17">G75+H75</f>
        <v>4409.1759291458893</v>
      </c>
    </row>
    <row r="76" spans="2:15" x14ac:dyDescent="0.25">
      <c r="B76" s="26">
        <v>2015</v>
      </c>
      <c r="C76" s="27">
        <v>1019571.4085290028</v>
      </c>
      <c r="D76" s="28"/>
      <c r="E76" s="28">
        <f t="shared" si="14"/>
        <v>1019571.4085290028</v>
      </c>
      <c r="F76" s="27">
        <v>4697.8044143992256</v>
      </c>
      <c r="G76" s="28">
        <f t="shared" si="15"/>
        <v>0</v>
      </c>
      <c r="H76" s="28">
        <f t="shared" si="16"/>
        <v>4697.8044143992256</v>
      </c>
      <c r="I76" s="28">
        <f t="shared" si="17"/>
        <v>4697.8044143992256</v>
      </c>
    </row>
    <row r="77" spans="2:15" x14ac:dyDescent="0.25">
      <c r="B77" s="26">
        <v>2016</v>
      </c>
      <c r="C77" s="27">
        <v>1117970.6924468274</v>
      </c>
      <c r="D77" s="28"/>
      <c r="E77" s="28">
        <f t="shared" si="14"/>
        <v>1117970.6924468274</v>
      </c>
      <c r="F77" s="27">
        <v>4861.015568828896</v>
      </c>
      <c r="G77" s="28">
        <f t="shared" si="15"/>
        <v>0</v>
      </c>
      <c r="H77" s="28">
        <f t="shared" si="16"/>
        <v>4861.0155688288969</v>
      </c>
      <c r="I77" s="28">
        <f t="shared" si="17"/>
        <v>4861.0155688288969</v>
      </c>
    </row>
    <row r="78" spans="2:15" x14ac:dyDescent="0.25">
      <c r="B78" s="26">
        <v>2017</v>
      </c>
      <c r="C78" s="27">
        <v>1053030.9082251894</v>
      </c>
      <c r="D78" s="28"/>
      <c r="E78" s="28">
        <f t="shared" si="14"/>
        <v>1053030.9082251894</v>
      </c>
      <c r="F78" s="27">
        <v>4774.6817019902828</v>
      </c>
      <c r="G78" s="28">
        <f t="shared" si="15"/>
        <v>0</v>
      </c>
      <c r="H78" s="28">
        <f t="shared" si="16"/>
        <v>4774.6817019902837</v>
      </c>
      <c r="I78" s="28">
        <f t="shared" si="17"/>
        <v>4774.6817019902837</v>
      </c>
    </row>
    <row r="79" spans="2:15" x14ac:dyDescent="0.25">
      <c r="B79" s="26">
        <v>2018</v>
      </c>
      <c r="C79" s="27">
        <v>1166385.7116395417</v>
      </c>
      <c r="D79" s="28">
        <f>F11</f>
        <v>51443.285714285448</v>
      </c>
      <c r="E79" s="28">
        <f t="shared" si="14"/>
        <v>1114743.4259252562</v>
      </c>
      <c r="F79" s="27">
        <v>4784.7519434793039</v>
      </c>
      <c r="G79" s="28">
        <f t="shared" si="15"/>
        <v>190.7124919777599</v>
      </c>
      <c r="H79" s="28">
        <f t="shared" si="16"/>
        <v>4572.9047607923612</v>
      </c>
      <c r="I79" s="28">
        <f t="shared" si="17"/>
        <v>4763.617252770121</v>
      </c>
    </row>
    <row r="80" spans="2:15" x14ac:dyDescent="0.25">
      <c r="B80" s="26">
        <v>2019</v>
      </c>
      <c r="C80" s="27">
        <v>1206991.5861911501</v>
      </c>
      <c r="D80" s="28">
        <f t="shared" ref="D80:D91" si="18">F12</f>
        <v>107094.71428571269</v>
      </c>
      <c r="E80" s="28">
        <f t="shared" si="14"/>
        <v>1099417.8719054374</v>
      </c>
      <c r="F80" s="27">
        <v>4809.2963508437269</v>
      </c>
      <c r="G80" s="28">
        <f t="shared" si="15"/>
        <v>383.73169905376483</v>
      </c>
      <c r="H80" s="28">
        <f t="shared" si="16"/>
        <v>4374.8827982689982</v>
      </c>
      <c r="I80" s="28">
        <f t="shared" si="17"/>
        <v>4758.6144973227629</v>
      </c>
    </row>
    <row r="81" spans="2:11" x14ac:dyDescent="0.25">
      <c r="B81" s="26">
        <v>2020</v>
      </c>
      <c r="C81" s="27">
        <v>1247784.1313553418</v>
      </c>
      <c r="D81" s="28">
        <f t="shared" si="18"/>
        <v>166986.80987012773</v>
      </c>
      <c r="E81" s="28">
        <f t="shared" si="14"/>
        <v>1079989.8456410582</v>
      </c>
      <c r="F81" s="27">
        <v>4845.536453345142</v>
      </c>
      <c r="G81" s="28">
        <f t="shared" si="15"/>
        <v>578.2798717889093</v>
      </c>
      <c r="H81" s="28">
        <f t="shared" si="16"/>
        <v>4178.1480588033037</v>
      </c>
      <c r="I81" s="28">
        <f t="shared" si="17"/>
        <v>4756.4279305922128</v>
      </c>
    </row>
    <row r="82" spans="2:11" x14ac:dyDescent="0.25">
      <c r="B82" s="26">
        <v>2021</v>
      </c>
      <c r="C82" s="27">
        <v>1288748.2711188961</v>
      </c>
      <c r="D82" s="28">
        <f t="shared" si="18"/>
        <v>230792.78181817994</v>
      </c>
      <c r="E82" s="28">
        <f t="shared" si="14"/>
        <v>1056444.2711188979</v>
      </c>
      <c r="F82" s="27">
        <v>4893.1151305214926</v>
      </c>
      <c r="G82" s="28">
        <f t="shared" si="15"/>
        <v>771.72770912998817</v>
      </c>
      <c r="H82" s="28">
        <f t="shared" si="16"/>
        <v>3982.5406391933921</v>
      </c>
      <c r="I82" s="28">
        <f t="shared" si="17"/>
        <v>4754.2683483233805</v>
      </c>
    </row>
    <row r="83" spans="2:11" x14ac:dyDescent="0.25">
      <c r="B83" s="26">
        <v>2022</v>
      </c>
      <c r="C83" s="27">
        <v>1329857.3224403893</v>
      </c>
      <c r="D83" s="28">
        <f t="shared" si="18"/>
        <v>298465.83948051685</v>
      </c>
      <c r="E83" s="28">
        <f t="shared" si="14"/>
        <v>1028754.4652975348</v>
      </c>
      <c r="F83" s="27">
        <v>4952.0423023853336</v>
      </c>
      <c r="G83" s="28">
        <f t="shared" si="15"/>
        <v>963.1703044880478</v>
      </c>
      <c r="H83" s="28">
        <f t="shared" si="16"/>
        <v>3788.1330883649971</v>
      </c>
      <c r="I83" s="28">
        <f t="shared" si="17"/>
        <v>4751.3033928530449</v>
      </c>
    </row>
    <row r="84" spans="2:11" x14ac:dyDescent="0.25">
      <c r="B84" s="26">
        <v>2023</v>
      </c>
      <c r="C84" s="27">
        <v>1371090.8945916586</v>
      </c>
      <c r="D84" s="28">
        <f t="shared" si="18"/>
        <v>369959.19220778957</v>
      </c>
      <c r="E84" s="28">
        <f t="shared" si="14"/>
        <v>996900.03744880413</v>
      </c>
      <c r="F84" s="27">
        <v>5022.1493287186813</v>
      </c>
      <c r="G84" s="28">
        <f t="shared" si="15"/>
        <v>1152.3379865598542</v>
      </c>
      <c r="H84" s="28">
        <f t="shared" si="16"/>
        <v>3594.6941276091529</v>
      </c>
      <c r="I84" s="28">
        <f t="shared" si="17"/>
        <v>4747.0321141690074</v>
      </c>
    </row>
    <row r="85" spans="2:11" x14ac:dyDescent="0.25">
      <c r="B85" s="26">
        <v>2024</v>
      </c>
      <c r="C85" s="27">
        <v>1412434.5035978679</v>
      </c>
      <c r="D85" s="28">
        <f t="shared" si="18"/>
        <v>445226.04935064568</v>
      </c>
      <c r="E85" s="28">
        <f t="shared" si="14"/>
        <v>960866.50359787163</v>
      </c>
      <c r="F85" s="27">
        <v>5103.1187691104178</v>
      </c>
      <c r="G85" s="28">
        <f t="shared" si="15"/>
        <v>1339.0881432968176</v>
      </c>
      <c r="H85" s="28">
        <f t="shared" si="16"/>
        <v>3401.7275357727162</v>
      </c>
      <c r="I85" s="28">
        <f t="shared" si="17"/>
        <v>4740.8156790695339</v>
      </c>
    </row>
    <row r="86" spans="2:11" x14ac:dyDescent="0.25">
      <c r="B86" s="26">
        <v>2025</v>
      </c>
      <c r="C86" s="27">
        <v>1453842.0175012546</v>
      </c>
      <c r="D86" s="28">
        <f t="shared" si="18"/>
        <v>524219.62025973632</v>
      </c>
      <c r="E86" s="28">
        <f t="shared" si="14"/>
        <v>920607.73178697284</v>
      </c>
      <c r="F86" s="27">
        <v>5195.5160642926385</v>
      </c>
      <c r="G86" s="28">
        <f t="shared" si="15"/>
        <v>1523.4381371214986</v>
      </c>
      <c r="H86" s="28">
        <f t="shared" si="16"/>
        <v>3209.4200578255795</v>
      </c>
      <c r="I86" s="28">
        <f t="shared" si="17"/>
        <v>4732.8581949470781</v>
      </c>
    </row>
    <row r="87" spans="2:11" x14ac:dyDescent="0.25">
      <c r="B87" s="26">
        <v>2026</v>
      </c>
      <c r="C87" s="27">
        <v>1495296.6218874408</v>
      </c>
      <c r="D87" s="28">
        <f t="shared" si="18"/>
        <v>606893.1142857091</v>
      </c>
      <c r="E87" s="28">
        <f t="shared" si="14"/>
        <v>876106.90760173183</v>
      </c>
      <c r="F87" s="27">
        <v>5299.0832939312513</v>
      </c>
      <c r="G87" s="28">
        <f t="shared" si="15"/>
        <v>1714.020315022324</v>
      </c>
      <c r="H87" s="28">
        <f t="shared" si="16"/>
        <v>3016.9885445153573</v>
      </c>
      <c r="I87" s="28">
        <f t="shared" si="17"/>
        <v>4731.008859537681</v>
      </c>
    </row>
    <row r="88" spans="2:11" x14ac:dyDescent="0.25">
      <c r="B88" s="26">
        <v>2027</v>
      </c>
      <c r="C88" s="27">
        <v>1536770.45903657</v>
      </c>
      <c r="D88" s="28">
        <f t="shared" si="18"/>
        <v>693199.74077921512</v>
      </c>
      <c r="E88" s="28">
        <f t="shared" si="14"/>
        <v>827336.17332229007</v>
      </c>
      <c r="F88" s="27">
        <v>5413.8700580907316</v>
      </c>
      <c r="G88" s="28">
        <f t="shared" si="15"/>
        <v>1911.2125830805426</v>
      </c>
      <c r="H88" s="28">
        <f t="shared" si="16"/>
        <v>2823.7634828396308</v>
      </c>
      <c r="I88" s="28">
        <f t="shared" si="17"/>
        <v>4734.9760659201729</v>
      </c>
    </row>
    <row r="89" spans="2:11" x14ac:dyDescent="0.25">
      <c r="B89" s="26">
        <v>2028</v>
      </c>
      <c r="C89" s="27">
        <v>1578233.9588539612</v>
      </c>
      <c r="D89" s="28">
        <f t="shared" si="18"/>
        <v>783092.70909090363</v>
      </c>
      <c r="E89" s="28">
        <f t="shared" si="14"/>
        <v>774265.95885396679</v>
      </c>
      <c r="F89" s="27">
        <v>5539.9656368863471</v>
      </c>
      <c r="G89" s="28">
        <f t="shared" si="15"/>
        <v>2115.5306521281077</v>
      </c>
      <c r="H89" s="28">
        <f t="shared" si="16"/>
        <v>2628.8861810769477</v>
      </c>
      <c r="I89" s="28">
        <f t="shared" si="17"/>
        <v>4744.4168332050558</v>
      </c>
    </row>
    <row r="90" spans="2:11" x14ac:dyDescent="0.25">
      <c r="B90" s="26">
        <v>2029</v>
      </c>
      <c r="C90" s="27">
        <v>1619667.6062884759</v>
      </c>
      <c r="D90" s="28">
        <f t="shared" si="18"/>
        <v>876525.2285714224</v>
      </c>
      <c r="E90" s="28">
        <f t="shared" si="14"/>
        <v>716876.74914562516</v>
      </c>
      <c r="F90" s="27">
        <v>5677.2013900999818</v>
      </c>
      <c r="G90" s="28">
        <f t="shared" si="15"/>
        <v>2327.6296244424893</v>
      </c>
      <c r="H90" s="28">
        <f t="shared" si="16"/>
        <v>2431.0033800523147</v>
      </c>
      <c r="I90" s="28">
        <f t="shared" si="17"/>
        <v>4758.6330044948045</v>
      </c>
    </row>
    <row r="91" spans="2:11" x14ac:dyDescent="0.25">
      <c r="B91" s="26">
        <v>2030</v>
      </c>
      <c r="C91" s="27">
        <v>1661026.0804002865</v>
      </c>
      <c r="D91" s="28">
        <f t="shared" si="18"/>
        <v>973450.50857142243</v>
      </c>
      <c r="E91" s="28">
        <f t="shared" si="14"/>
        <v>655123.2232574356</v>
      </c>
      <c r="F91" s="27">
        <v>5826.0534783480334</v>
      </c>
      <c r="G91" s="28">
        <f t="shared" si="15"/>
        <v>2548.3934551367265</v>
      </c>
      <c r="H91" s="28">
        <f t="shared" si="16"/>
        <v>2229.0223114014148</v>
      </c>
      <c r="I91" s="28">
        <f t="shared" si="17"/>
        <v>4777.4157665381408</v>
      </c>
      <c r="K91" s="2">
        <f>F91-I91</f>
        <v>1048.6377118098926</v>
      </c>
    </row>
    <row r="92" spans="2:11" x14ac:dyDescent="0.25">
      <c r="B92" t="s">
        <v>23</v>
      </c>
      <c r="C92" t="s">
        <v>24</v>
      </c>
      <c r="D92" t="s">
        <v>25</v>
      </c>
      <c r="E92" t="s">
        <v>27</v>
      </c>
    </row>
  </sheetData>
  <mergeCells count="3">
    <mergeCell ref="E4:H4"/>
    <mergeCell ref="E27:H27"/>
    <mergeCell ref="B50:K50"/>
  </mergeCells>
  <pageMargins left="0.7" right="0.7" top="0.75" bottom="0.75" header="0.3" footer="0.3"/>
  <ignoredErrors>
    <ignoredError sqref="F33:F45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F257-720A-476D-B666-AF180797F9C2}">
  <dimension ref="A2:O92"/>
  <sheetViews>
    <sheetView zoomScale="80" zoomScaleNormal="80" workbookViewId="0"/>
  </sheetViews>
  <sheetFormatPr baseColWidth="10" defaultRowHeight="15" x14ac:dyDescent="0.25"/>
  <cols>
    <col min="2" max="4" width="18.140625" customWidth="1"/>
    <col min="5" max="5" width="20.5703125" customWidth="1"/>
    <col min="6" max="6" width="30.140625" customWidth="1"/>
    <col min="7" max="7" width="23.7109375" customWidth="1"/>
    <col min="8" max="8" width="23.28515625" customWidth="1"/>
    <col min="9" max="9" width="28" customWidth="1"/>
    <col min="10" max="10" width="23.7109375" customWidth="1"/>
    <col min="11" max="11" width="18.140625" customWidth="1"/>
    <col min="12" max="12" width="17" customWidth="1"/>
  </cols>
  <sheetData>
    <row r="2" spans="1:12" x14ac:dyDescent="0.25">
      <c r="D2">
        <v>1</v>
      </c>
    </row>
    <row r="3" spans="1:12" x14ac:dyDescent="0.25">
      <c r="I3" s="5"/>
      <c r="J3" s="13"/>
      <c r="K3" s="13"/>
      <c r="L3" s="14"/>
    </row>
    <row r="4" spans="1:12" x14ac:dyDescent="0.25">
      <c r="B4" s="32"/>
      <c r="C4" s="33"/>
      <c r="D4" s="33"/>
      <c r="E4" s="68" t="s">
        <v>10</v>
      </c>
      <c r="F4" s="68"/>
      <c r="G4" s="68"/>
      <c r="H4" s="68"/>
      <c r="I4" s="34"/>
      <c r="J4" s="13"/>
      <c r="K4" s="13"/>
      <c r="L4" s="14"/>
    </row>
    <row r="5" spans="1:12" ht="45" x14ac:dyDescent="0.25">
      <c r="B5" s="9" t="s">
        <v>0</v>
      </c>
      <c r="C5" s="9" t="s">
        <v>22</v>
      </c>
      <c r="D5" s="9" t="s">
        <v>44</v>
      </c>
      <c r="E5" s="9" t="s">
        <v>33</v>
      </c>
      <c r="F5" s="16" t="s">
        <v>36</v>
      </c>
      <c r="G5" s="16" t="s">
        <v>8</v>
      </c>
      <c r="H5" s="16" t="s">
        <v>9</v>
      </c>
      <c r="I5" s="9" t="s">
        <v>4</v>
      </c>
      <c r="J5" s="14"/>
      <c r="K5" s="7"/>
      <c r="L5" s="14"/>
    </row>
    <row r="6" spans="1:12" x14ac:dyDescent="0.25">
      <c r="B6" s="10">
        <v>2013</v>
      </c>
      <c r="C6" s="11">
        <v>1073183.6651212492</v>
      </c>
      <c r="D6" s="11">
        <f>D29*$D$2-E6</f>
        <v>28898</v>
      </c>
      <c r="E6" s="11"/>
      <c r="F6" s="17"/>
      <c r="G6" s="18"/>
      <c r="H6" s="18"/>
      <c r="I6" s="10"/>
      <c r="J6" s="14"/>
      <c r="K6" s="6"/>
      <c r="L6" s="14"/>
    </row>
    <row r="7" spans="1:12" x14ac:dyDescent="0.25">
      <c r="B7" s="10">
        <v>2014</v>
      </c>
      <c r="C7" s="11">
        <v>976651.16433813574</v>
      </c>
      <c r="D7" s="11">
        <f t="shared" ref="D7:D22" si="0">D30*$D$2-E7</f>
        <v>28300</v>
      </c>
      <c r="E7" s="11"/>
      <c r="F7" s="17"/>
      <c r="G7" s="18"/>
      <c r="H7" s="18"/>
      <c r="I7" s="10"/>
      <c r="J7" s="8"/>
      <c r="K7" s="6"/>
      <c r="L7" s="8"/>
    </row>
    <row r="8" spans="1:12" x14ac:dyDescent="0.25">
      <c r="B8" s="10">
        <v>2015</v>
      </c>
      <c r="C8" s="11">
        <v>1019571.4085290028</v>
      </c>
      <c r="D8" s="11">
        <f t="shared" si="0"/>
        <v>37202</v>
      </c>
      <c r="E8" s="11"/>
      <c r="F8" s="17"/>
      <c r="G8" s="18"/>
      <c r="H8" s="18"/>
      <c r="I8" s="10"/>
      <c r="J8" s="8"/>
      <c r="K8" s="6"/>
      <c r="L8" s="8"/>
    </row>
    <row r="9" spans="1:12" x14ac:dyDescent="0.25">
      <c r="B9" s="10">
        <v>2016</v>
      </c>
      <c r="C9" s="11">
        <v>1117970.6924468274</v>
      </c>
      <c r="D9" s="11">
        <f t="shared" si="0"/>
        <v>48314</v>
      </c>
      <c r="E9" s="11"/>
      <c r="F9" s="17"/>
      <c r="G9" s="18"/>
      <c r="H9" s="18"/>
      <c r="I9" s="10"/>
      <c r="J9" s="14"/>
      <c r="K9" s="6"/>
      <c r="L9" s="14"/>
    </row>
    <row r="10" spans="1:12" x14ac:dyDescent="0.25">
      <c r="B10" s="10">
        <v>2017</v>
      </c>
      <c r="C10" s="11">
        <v>1053030.9082251894</v>
      </c>
      <c r="D10" s="11">
        <f t="shared" si="0"/>
        <v>47353.142857141793</v>
      </c>
      <c r="E10" s="11"/>
      <c r="F10" s="17"/>
      <c r="G10" s="18"/>
      <c r="H10" s="18"/>
      <c r="I10" s="10"/>
      <c r="J10" s="14"/>
      <c r="K10" s="6"/>
      <c r="L10" s="14"/>
    </row>
    <row r="11" spans="1:12" x14ac:dyDescent="0.25">
      <c r="A11" s="3" t="s">
        <v>3</v>
      </c>
      <c r="B11" s="10">
        <v>2018</v>
      </c>
      <c r="C11" s="11">
        <v>1166385.7116395417</v>
      </c>
      <c r="D11" s="11">
        <f>D34*$D$2-E11</f>
        <v>51443.285714285448</v>
      </c>
      <c r="E11" s="11">
        <v>199</v>
      </c>
      <c r="F11" s="17">
        <f>D11+F10</f>
        <v>51443.285714285448</v>
      </c>
      <c r="G11" s="17">
        <f t="shared" ref="G11:G23" si="1">D11*K57/I11</f>
        <v>190.7124919777599</v>
      </c>
      <c r="H11" s="17">
        <f>H10+G11</f>
        <v>190.7124919777599</v>
      </c>
      <c r="I11" s="12">
        <v>16.155472</v>
      </c>
      <c r="J11" s="14"/>
      <c r="K11" s="6"/>
      <c r="L11" s="14"/>
    </row>
    <row r="12" spans="1:12" x14ac:dyDescent="0.25">
      <c r="B12" s="10">
        <v>2019</v>
      </c>
      <c r="C12" s="11">
        <v>1206991.5861911501</v>
      </c>
      <c r="D12" s="11">
        <f t="shared" si="0"/>
        <v>55651.428571427241</v>
      </c>
      <c r="E12" s="11">
        <v>280</v>
      </c>
      <c r="F12" s="17">
        <f>D12+F11</f>
        <v>107094.71428571269</v>
      </c>
      <c r="G12" s="17">
        <f t="shared" si="1"/>
        <v>193.01920707600496</v>
      </c>
      <c r="H12" s="17">
        <f t="shared" ref="H12:H23" si="2">H11+G12</f>
        <v>383.73169905376483</v>
      </c>
      <c r="I12" s="12">
        <v>16.750673599999999</v>
      </c>
      <c r="J12" s="14"/>
      <c r="K12" s="6"/>
      <c r="L12" s="14"/>
    </row>
    <row r="13" spans="1:12" x14ac:dyDescent="0.25">
      <c r="B13" s="10">
        <v>2020</v>
      </c>
      <c r="C13" s="11">
        <v>1247784.1313553418</v>
      </c>
      <c r="D13" s="11">
        <f t="shared" si="0"/>
        <v>59125.651948051425</v>
      </c>
      <c r="E13" s="11">
        <v>1094.9194805194709</v>
      </c>
      <c r="F13" s="17">
        <f>D13+F12</f>
        <v>166220.3662337641</v>
      </c>
      <c r="G13" s="17">
        <f t="shared" si="1"/>
        <v>192.05852518643152</v>
      </c>
      <c r="H13" s="17">
        <f t="shared" si="2"/>
        <v>575.79022424019638</v>
      </c>
      <c r="I13" s="12">
        <v>17.3883896</v>
      </c>
      <c r="J13" s="14"/>
      <c r="K13" s="6"/>
      <c r="L13" s="14"/>
    </row>
    <row r="14" spans="1:12" x14ac:dyDescent="0.25">
      <c r="B14" s="10">
        <v>2021</v>
      </c>
      <c r="C14" s="11">
        <v>1288748.2711188961</v>
      </c>
      <c r="D14" s="11">
        <f t="shared" si="0"/>
        <v>62163.906493506751</v>
      </c>
      <c r="E14" s="11">
        <v>2345.8077922078023</v>
      </c>
      <c r="F14" s="17">
        <f>D14+F13</f>
        <v>228384.27272727084</v>
      </c>
      <c r="G14" s="17">
        <f t="shared" si="1"/>
        <v>188.46940035068351</v>
      </c>
      <c r="H14" s="17">
        <f t="shared" si="2"/>
        <v>764.25962459087987</v>
      </c>
      <c r="I14" s="12">
        <v>18.153648800000003</v>
      </c>
      <c r="J14" s="14"/>
      <c r="K14" s="6"/>
      <c r="L14" s="14"/>
    </row>
    <row r="15" spans="1:12" x14ac:dyDescent="0.25">
      <c r="B15" s="10">
        <v>2022</v>
      </c>
      <c r="C15" s="11">
        <v>1329857.3224403893</v>
      </c>
      <c r="D15" s="11">
        <f t="shared" si="0"/>
        <v>65046.19220779145</v>
      </c>
      <c r="E15" s="11">
        <v>3752.6649350648913</v>
      </c>
      <c r="F15" s="17">
        <f>D15+F14</f>
        <v>293430.46493506228</v>
      </c>
      <c r="G15" s="17">
        <f t="shared" si="1"/>
        <v>184.01136707244177</v>
      </c>
      <c r="H15" s="17">
        <f t="shared" si="2"/>
        <v>948.27099166332164</v>
      </c>
      <c r="I15" s="12">
        <v>19.003936800000002</v>
      </c>
      <c r="J15" s="14"/>
      <c r="K15" s="6"/>
      <c r="L15" s="14"/>
    </row>
    <row r="16" spans="1:12" x14ac:dyDescent="0.25">
      <c r="B16" s="10">
        <v>2023</v>
      </c>
      <c r="C16" s="11">
        <v>1371090.8945916586</v>
      </c>
      <c r="D16" s="11">
        <f t="shared" si="0"/>
        <v>67772.509090909094</v>
      </c>
      <c r="E16" s="11">
        <v>5315.4909090909105</v>
      </c>
      <c r="F16" s="17">
        <f t="shared" ref="F16:F22" si="3">D16+F15</f>
        <v>361202.97402597137</v>
      </c>
      <c r="G16" s="17">
        <f t="shared" si="1"/>
        <v>179.32252389706559</v>
      </c>
      <c r="H16" s="17">
        <f t="shared" si="2"/>
        <v>1127.5935155603872</v>
      </c>
      <c r="I16" s="12">
        <v>19.896739199999999</v>
      </c>
      <c r="J16" s="14"/>
      <c r="K16" s="6"/>
      <c r="L16" s="14"/>
    </row>
    <row r="17" spans="2:12" x14ac:dyDescent="0.25">
      <c r="B17" s="10">
        <v>2024</v>
      </c>
      <c r="C17" s="11">
        <v>1412434.5035978679</v>
      </c>
      <c r="D17" s="11">
        <f t="shared" si="0"/>
        <v>70342.85714285617</v>
      </c>
      <c r="E17" s="11">
        <v>7034.2857142856192</v>
      </c>
      <c r="F17" s="17">
        <f t="shared" si="3"/>
        <v>431545.83116882754</v>
      </c>
      <c r="G17" s="17">
        <f t="shared" si="1"/>
        <v>174.53285676351709</v>
      </c>
      <c r="H17" s="17">
        <f t="shared" si="2"/>
        <v>1302.1263723239044</v>
      </c>
      <c r="I17" s="12">
        <v>20.832056000000001</v>
      </c>
      <c r="J17" s="14"/>
      <c r="K17" s="6"/>
      <c r="L17" s="14"/>
    </row>
    <row r="18" spans="2:12" x14ac:dyDescent="0.25">
      <c r="B18" s="10">
        <v>2025</v>
      </c>
      <c r="C18" s="11">
        <v>1453842.0175012546</v>
      </c>
      <c r="D18" s="11">
        <f t="shared" si="0"/>
        <v>72757.236363636126</v>
      </c>
      <c r="E18" s="11">
        <v>8909.0493506493222</v>
      </c>
      <c r="F18" s="17">
        <f t="shared" si="3"/>
        <v>504303.0675324637</v>
      </c>
      <c r="G18" s="17">
        <f t="shared" si="1"/>
        <v>169.79604694378511</v>
      </c>
      <c r="H18" s="17">
        <f t="shared" si="2"/>
        <v>1471.9224192676895</v>
      </c>
      <c r="I18" s="12">
        <v>21.809887199999999</v>
      </c>
      <c r="J18" s="14"/>
      <c r="K18" s="6"/>
      <c r="L18" s="14"/>
    </row>
    <row r="19" spans="2:12" x14ac:dyDescent="0.25">
      <c r="B19" s="10">
        <v>2026</v>
      </c>
      <c r="C19" s="11">
        <v>1495296.6218874408</v>
      </c>
      <c r="D19" s="11">
        <f t="shared" si="0"/>
        <v>75015.646753245586</v>
      </c>
      <c r="E19" s="11">
        <v>10939.781818181649</v>
      </c>
      <c r="F19" s="17">
        <f t="shared" si="3"/>
        <v>579318.71428570931</v>
      </c>
      <c r="G19" s="17">
        <f t="shared" si="1"/>
        <v>172.92900830320642</v>
      </c>
      <c r="H19" s="17">
        <f t="shared" si="2"/>
        <v>1644.851427570896</v>
      </c>
      <c r="I19" s="12">
        <v>21.809887199999999</v>
      </c>
      <c r="J19" s="14"/>
      <c r="K19" s="6"/>
      <c r="L19" s="14"/>
    </row>
    <row r="20" spans="2:12" x14ac:dyDescent="0.25">
      <c r="B20" s="10">
        <v>2027</v>
      </c>
      <c r="C20" s="11">
        <v>1536770.45903657</v>
      </c>
      <c r="D20" s="11">
        <f t="shared" si="0"/>
        <v>77118.088311687854</v>
      </c>
      <c r="E20" s="11">
        <v>13126.483116883042</v>
      </c>
      <c r="F20" s="17">
        <f t="shared" si="3"/>
        <v>656436.80259739712</v>
      </c>
      <c r="G20" s="17">
        <f t="shared" si="1"/>
        <v>176.19841442464391</v>
      </c>
      <c r="H20" s="17">
        <f t="shared" si="2"/>
        <v>1821.04984199554</v>
      </c>
      <c r="I20" s="12">
        <v>21.809887199999999</v>
      </c>
      <c r="J20" s="14"/>
      <c r="K20" s="6"/>
      <c r="L20" s="14"/>
    </row>
    <row r="21" spans="2:12" x14ac:dyDescent="0.25">
      <c r="B21" s="10">
        <v>2028</v>
      </c>
      <c r="C21" s="11">
        <v>1578233.9588539612</v>
      </c>
      <c r="D21" s="11">
        <f t="shared" si="0"/>
        <v>79064.561038961256</v>
      </c>
      <c r="E21" s="11">
        <v>15469.153246753292</v>
      </c>
      <c r="F21" s="17">
        <f t="shared" si="3"/>
        <v>735501.36363635841</v>
      </c>
      <c r="G21" s="17">
        <f t="shared" si="1"/>
        <v>179.70614103609924</v>
      </c>
      <c r="H21" s="17">
        <f t="shared" si="2"/>
        <v>2000.7559830316393</v>
      </c>
      <c r="I21" s="12">
        <v>21.809887199999999</v>
      </c>
      <c r="J21" s="14"/>
      <c r="K21" s="6"/>
      <c r="L21" s="14"/>
    </row>
    <row r="22" spans="2:12" x14ac:dyDescent="0.25">
      <c r="B22" s="10">
        <v>2029</v>
      </c>
      <c r="C22" s="11">
        <v>1619667.6062884759</v>
      </c>
      <c r="D22" s="11">
        <f t="shared" si="0"/>
        <v>80855.064935064278</v>
      </c>
      <c r="E22" s="11">
        <v>17967.792207792067</v>
      </c>
      <c r="F22" s="17">
        <f t="shared" si="3"/>
        <v>816356.4285714227</v>
      </c>
      <c r="G22" s="17">
        <f t="shared" si="1"/>
        <v>183.54718757975343</v>
      </c>
      <c r="H22" s="17">
        <f t="shared" si="2"/>
        <v>2184.3031706113925</v>
      </c>
      <c r="I22" s="12">
        <v>21.809887199999999</v>
      </c>
      <c r="J22" s="14"/>
      <c r="K22" s="6"/>
      <c r="L22" s="14"/>
    </row>
    <row r="23" spans="2:12" x14ac:dyDescent="0.25">
      <c r="B23" s="10">
        <v>2030</v>
      </c>
      <c r="C23" s="11">
        <v>1661026.0804002865</v>
      </c>
      <c r="D23" s="11">
        <f>D46*$D$2-E23</f>
        <v>82489.600000000006</v>
      </c>
      <c r="E23" s="11">
        <v>20622.400000000001</v>
      </c>
      <c r="F23" s="17">
        <f>D23+F22</f>
        <v>898846.02857142268</v>
      </c>
      <c r="G23" s="17">
        <f t="shared" si="1"/>
        <v>187.88411122913794</v>
      </c>
      <c r="H23" s="17">
        <f t="shared" si="2"/>
        <v>2372.1872818405304</v>
      </c>
      <c r="I23" s="12">
        <v>21.809887199999999</v>
      </c>
      <c r="J23" s="14"/>
      <c r="K23" s="6"/>
      <c r="L23" s="14"/>
    </row>
    <row r="24" spans="2:12" x14ac:dyDescent="0.25">
      <c r="B24" t="s">
        <v>23</v>
      </c>
      <c r="C24" t="s">
        <v>24</v>
      </c>
      <c r="D24" t="s">
        <v>25</v>
      </c>
      <c r="E24" t="s">
        <v>27</v>
      </c>
      <c r="F24" s="5"/>
      <c r="I24" s="5"/>
      <c r="J24" s="5"/>
      <c r="K24" s="13"/>
    </row>
    <row r="25" spans="2:12" x14ac:dyDescent="0.25">
      <c r="B25" t="s">
        <v>32</v>
      </c>
      <c r="F25" s="5"/>
      <c r="I25" s="5"/>
      <c r="J25" s="5"/>
      <c r="K25" s="13"/>
    </row>
    <row r="26" spans="2:12" x14ac:dyDescent="0.25">
      <c r="F26" s="5"/>
      <c r="I26" s="5"/>
      <c r="J26" s="5"/>
      <c r="K26" s="5"/>
    </row>
    <row r="27" spans="2:12" x14ac:dyDescent="0.25">
      <c r="B27" s="32"/>
      <c r="C27" s="33"/>
      <c r="D27" s="33"/>
      <c r="E27" s="68" t="s">
        <v>11</v>
      </c>
      <c r="F27" s="68"/>
      <c r="G27" s="68"/>
      <c r="H27" s="68"/>
      <c r="I27" s="34"/>
      <c r="J27" s="5"/>
      <c r="K27" s="5"/>
    </row>
    <row r="28" spans="2:12" ht="30" x14ac:dyDescent="0.25">
      <c r="B28" s="9" t="s">
        <v>0</v>
      </c>
      <c r="C28" s="30" t="s">
        <v>2</v>
      </c>
      <c r="D28" s="30" t="s">
        <v>2</v>
      </c>
      <c r="E28" s="16"/>
      <c r="F28" s="16" t="s">
        <v>6</v>
      </c>
      <c r="G28" s="16" t="s">
        <v>7</v>
      </c>
      <c r="H28" s="16"/>
      <c r="I28" s="9" t="s">
        <v>4</v>
      </c>
      <c r="J28" s="5"/>
      <c r="K28" s="5"/>
    </row>
    <row r="29" spans="2:12" x14ac:dyDescent="0.25">
      <c r="B29" s="10">
        <v>2013</v>
      </c>
      <c r="C29" s="29">
        <v>28898</v>
      </c>
      <c r="D29" s="29">
        <v>28898</v>
      </c>
      <c r="E29" s="17"/>
      <c r="F29" s="17">
        <f>C6-F6-SUM($E$6:E6)</f>
        <v>1073183.6651212492</v>
      </c>
      <c r="G29" s="17">
        <f>F29*K52/I29</f>
        <v>4488.9048500498293</v>
      </c>
      <c r="H29" s="17"/>
      <c r="I29" s="12">
        <v>14.6</v>
      </c>
      <c r="J29" s="5"/>
      <c r="K29" s="5" t="s">
        <v>21</v>
      </c>
    </row>
    <row r="30" spans="2:12" x14ac:dyDescent="0.25">
      <c r="B30" s="10">
        <v>2014</v>
      </c>
      <c r="C30" s="29">
        <v>28300</v>
      </c>
      <c r="D30" s="29">
        <v>28300</v>
      </c>
      <c r="E30" s="17"/>
      <c r="F30" s="17">
        <f>C7-F7-SUM($E$6:E7)</f>
        <v>976651.16433813574</v>
      </c>
      <c r="G30" s="17">
        <f t="shared" ref="G30:G46" si="4">F30*K53/I30</f>
        <v>4409.1759291458893</v>
      </c>
      <c r="H30" s="17"/>
      <c r="I30" s="12">
        <v>14.6</v>
      </c>
    </row>
    <row r="31" spans="2:12" x14ac:dyDescent="0.25">
      <c r="B31" s="10">
        <v>2015</v>
      </c>
      <c r="C31" s="29">
        <v>37202</v>
      </c>
      <c r="D31" s="29">
        <v>37202</v>
      </c>
      <c r="E31" s="17"/>
      <c r="F31" s="17">
        <f>C8-F8-SUM($E$6:E8)</f>
        <v>1019571.4085290028</v>
      </c>
      <c r="G31" s="17">
        <f t="shared" si="4"/>
        <v>4697.8044143992256</v>
      </c>
      <c r="H31" s="17"/>
      <c r="I31" s="12">
        <v>14.6</v>
      </c>
    </row>
    <row r="32" spans="2:12" x14ac:dyDescent="0.25">
      <c r="B32" s="10">
        <v>2016</v>
      </c>
      <c r="C32" s="29">
        <v>48314</v>
      </c>
      <c r="D32" s="29">
        <v>48314</v>
      </c>
      <c r="E32" s="17"/>
      <c r="F32" s="17">
        <f>C9-F9-SUM($E$6:E9)</f>
        <v>1117970.6924468274</v>
      </c>
      <c r="G32" s="17">
        <f t="shared" si="4"/>
        <v>4861.0155688288969</v>
      </c>
      <c r="H32" s="17"/>
      <c r="I32" s="12">
        <v>14.6</v>
      </c>
    </row>
    <row r="33" spans="1:9" x14ac:dyDescent="0.25">
      <c r="B33" s="10">
        <v>2017</v>
      </c>
      <c r="C33" s="29">
        <v>47353.142857141793</v>
      </c>
      <c r="D33" s="29">
        <v>47353.142857141793</v>
      </c>
      <c r="E33" s="17"/>
      <c r="F33" s="17">
        <f>C10-F10-SUM($E$6:E10)</f>
        <v>1053030.9082251894</v>
      </c>
      <c r="G33" s="17">
        <f t="shared" si="4"/>
        <v>4774.6817019902837</v>
      </c>
      <c r="H33" s="17"/>
      <c r="I33" s="12">
        <v>14.6</v>
      </c>
    </row>
    <row r="34" spans="1:9" x14ac:dyDescent="0.25">
      <c r="A34" s="3" t="s">
        <v>3</v>
      </c>
      <c r="B34" s="10">
        <v>2018</v>
      </c>
      <c r="C34" s="29">
        <v>51642.285714285448</v>
      </c>
      <c r="D34" s="29">
        <v>51642.285714285448</v>
      </c>
      <c r="E34" s="17"/>
      <c r="F34" s="17">
        <f>C11-F11-SUM($E$6:E11)</f>
        <v>1114743.4259252562</v>
      </c>
      <c r="G34" s="17">
        <f t="shared" si="4"/>
        <v>4572.9047607923612</v>
      </c>
      <c r="H34" s="17"/>
      <c r="I34" s="12">
        <v>14.6</v>
      </c>
    </row>
    <row r="35" spans="1:9" x14ac:dyDescent="0.25">
      <c r="B35" s="10">
        <v>2019</v>
      </c>
      <c r="C35" s="29">
        <v>55931.428571427241</v>
      </c>
      <c r="D35" s="29">
        <v>55931.428571427241</v>
      </c>
      <c r="E35" s="17"/>
      <c r="F35" s="17">
        <f>C12-F12-SUM($E$6:E12)</f>
        <v>1099417.8719054374</v>
      </c>
      <c r="G35" s="17">
        <f t="shared" si="4"/>
        <v>4374.8827982689982</v>
      </c>
      <c r="H35" s="17"/>
      <c r="I35" s="12">
        <v>14.6</v>
      </c>
    </row>
    <row r="36" spans="1:9" x14ac:dyDescent="0.25">
      <c r="B36" s="10">
        <v>2020</v>
      </c>
      <c r="C36" s="29">
        <v>60220.571428570896</v>
      </c>
      <c r="D36" s="29">
        <v>60220.571428570896</v>
      </c>
      <c r="E36" s="17"/>
      <c r="F36" s="17">
        <f>C13-F13-SUM($E$6:E13)</f>
        <v>1079989.8456410584</v>
      </c>
      <c r="G36" s="17">
        <f t="shared" si="4"/>
        <v>4178.1480588033046</v>
      </c>
      <c r="H36" s="17"/>
      <c r="I36" s="12">
        <v>14.6</v>
      </c>
    </row>
    <row r="37" spans="1:9" x14ac:dyDescent="0.25">
      <c r="B37" s="10">
        <v>2021</v>
      </c>
      <c r="C37" s="29">
        <v>64509.714285714552</v>
      </c>
      <c r="D37" s="29">
        <v>64509.714285714552</v>
      </c>
      <c r="E37" s="17"/>
      <c r="F37" s="17">
        <f>C14-F14-SUM($E$6:E14)</f>
        <v>1056444.2711188979</v>
      </c>
      <c r="G37" s="17">
        <f t="shared" si="4"/>
        <v>3982.5406391933921</v>
      </c>
      <c r="H37" s="17"/>
      <c r="I37" s="12">
        <v>14.6</v>
      </c>
    </row>
    <row r="38" spans="1:9" x14ac:dyDescent="0.25">
      <c r="B38" s="10">
        <v>2022</v>
      </c>
      <c r="C38" s="29">
        <v>68798.857142856345</v>
      </c>
      <c r="D38" s="29">
        <v>68798.857142856345</v>
      </c>
      <c r="E38" s="17"/>
      <c r="F38" s="17">
        <f>C15-F15-SUM($E$6:E15)</f>
        <v>1028754.4652975349</v>
      </c>
      <c r="G38" s="17">
        <f t="shared" si="4"/>
        <v>3788.1330883649975</v>
      </c>
      <c r="H38" s="17"/>
      <c r="I38" s="12">
        <v>14.6</v>
      </c>
    </row>
    <row r="39" spans="1:9" x14ac:dyDescent="0.25">
      <c r="B39" s="10">
        <v>2023</v>
      </c>
      <c r="C39" s="29">
        <v>73088</v>
      </c>
      <c r="D39" s="29">
        <v>73088</v>
      </c>
      <c r="E39" s="17"/>
      <c r="F39" s="17">
        <f>C16-F16-SUM($E$6:E16)</f>
        <v>996900.03744880413</v>
      </c>
      <c r="G39" s="17">
        <f t="shared" si="4"/>
        <v>3594.6941276091529</v>
      </c>
      <c r="H39" s="17"/>
      <c r="I39" s="12">
        <v>14.6</v>
      </c>
    </row>
    <row r="40" spans="1:9" x14ac:dyDescent="0.25">
      <c r="B40" s="10">
        <v>2024</v>
      </c>
      <c r="C40" s="29">
        <v>77377.142857141793</v>
      </c>
      <c r="D40" s="29">
        <v>77377.142857141793</v>
      </c>
      <c r="E40" s="17"/>
      <c r="F40" s="17">
        <f>C17-F17-SUM($E$6:E17)</f>
        <v>960866.50359787163</v>
      </c>
      <c r="G40" s="17">
        <f t="shared" si="4"/>
        <v>3401.7275357727162</v>
      </c>
      <c r="H40" s="17"/>
      <c r="I40" s="12">
        <v>14.6</v>
      </c>
    </row>
    <row r="41" spans="1:9" x14ac:dyDescent="0.25">
      <c r="B41" s="10">
        <v>2025</v>
      </c>
      <c r="C41" s="29">
        <v>81666.285714285448</v>
      </c>
      <c r="D41" s="29">
        <v>81666.285714285448</v>
      </c>
      <c r="E41" s="17"/>
      <c r="F41" s="17">
        <f>C18-F18-SUM($E$6:E18)</f>
        <v>920607.73178697284</v>
      </c>
      <c r="G41" s="17">
        <f t="shared" si="4"/>
        <v>3209.4200578255795</v>
      </c>
      <c r="H41" s="17"/>
      <c r="I41" s="12">
        <v>14.6</v>
      </c>
    </row>
    <row r="42" spans="1:9" x14ac:dyDescent="0.25">
      <c r="B42" s="10">
        <v>2026</v>
      </c>
      <c r="C42" s="29">
        <v>85955.428571427241</v>
      </c>
      <c r="D42" s="29">
        <v>85955.428571427241</v>
      </c>
      <c r="E42" s="17"/>
      <c r="F42" s="17">
        <f>C19-F19-SUM($E$6:E19)</f>
        <v>876106.90760173183</v>
      </c>
      <c r="G42" s="17">
        <f t="shared" si="4"/>
        <v>3016.9885445153573</v>
      </c>
      <c r="H42" s="17"/>
      <c r="I42" s="12">
        <v>14.6</v>
      </c>
    </row>
    <row r="43" spans="1:9" x14ac:dyDescent="0.25">
      <c r="B43" s="10">
        <v>2027</v>
      </c>
      <c r="C43" s="29">
        <v>90244.571428570896</v>
      </c>
      <c r="D43" s="29">
        <v>90244.571428570896</v>
      </c>
      <c r="E43" s="17"/>
      <c r="F43" s="17">
        <f>C20-F20-SUM($E$6:E20)</f>
        <v>827336.17332229018</v>
      </c>
      <c r="G43" s="17">
        <f t="shared" si="4"/>
        <v>2823.7634828396313</v>
      </c>
      <c r="H43" s="17"/>
      <c r="I43" s="12">
        <v>14.6</v>
      </c>
    </row>
    <row r="44" spans="1:9" x14ac:dyDescent="0.25">
      <c r="B44" s="10">
        <v>2028</v>
      </c>
      <c r="C44" s="29">
        <v>94533.714285714552</v>
      </c>
      <c r="D44" s="29">
        <v>94533.714285714552</v>
      </c>
      <c r="E44" s="17"/>
      <c r="F44" s="17">
        <f>C21-F21-SUM($E$6:E21)</f>
        <v>774265.95885396679</v>
      </c>
      <c r="G44" s="17">
        <f t="shared" si="4"/>
        <v>2628.8861810769477</v>
      </c>
      <c r="H44" s="17"/>
      <c r="I44" s="12">
        <v>14.6</v>
      </c>
    </row>
    <row r="45" spans="1:9" x14ac:dyDescent="0.25">
      <c r="B45" s="10">
        <v>2029</v>
      </c>
      <c r="C45" s="29">
        <v>98822.857142856345</v>
      </c>
      <c r="D45" s="29">
        <v>98822.857142856345</v>
      </c>
      <c r="E45" s="17"/>
      <c r="F45" s="17">
        <f>C22-F22-SUM($E$6:E22)</f>
        <v>716876.74914562516</v>
      </c>
      <c r="G45" s="17">
        <f t="shared" si="4"/>
        <v>2431.0033800523147</v>
      </c>
      <c r="H45" s="17"/>
      <c r="I45" s="12">
        <v>14.6</v>
      </c>
    </row>
    <row r="46" spans="1:9" x14ac:dyDescent="0.25">
      <c r="B46" s="10">
        <v>2030</v>
      </c>
      <c r="C46" s="29">
        <v>103112</v>
      </c>
      <c r="D46" s="29">
        <v>103112</v>
      </c>
      <c r="E46" s="17"/>
      <c r="F46" s="17">
        <f>C23-F23-SUM($E$6:E23)</f>
        <v>655123.22325743572</v>
      </c>
      <c r="G46" s="17">
        <f t="shared" si="4"/>
        <v>2229.0223114014152</v>
      </c>
      <c r="H46" s="17"/>
      <c r="I46" s="12">
        <v>14.6</v>
      </c>
    </row>
    <row r="50" spans="1:15" x14ac:dyDescent="0.25">
      <c r="B50" s="68" t="s">
        <v>13</v>
      </c>
      <c r="C50" s="68"/>
      <c r="D50" s="68"/>
      <c r="E50" s="68"/>
      <c r="F50" s="68"/>
      <c r="G50" s="68"/>
      <c r="H50" s="68"/>
      <c r="I50" s="68"/>
      <c r="J50" s="68"/>
      <c r="K50" s="68"/>
    </row>
    <row r="51" spans="1:15" ht="54" x14ac:dyDescent="0.25">
      <c r="B51" s="9" t="s">
        <v>0</v>
      </c>
      <c r="C51" s="19" t="s">
        <v>30</v>
      </c>
      <c r="D51" s="9" t="s">
        <v>1</v>
      </c>
      <c r="E51" s="16" t="s">
        <v>6</v>
      </c>
      <c r="F51" s="16" t="s">
        <v>19</v>
      </c>
      <c r="G51" s="9" t="s">
        <v>14</v>
      </c>
      <c r="H51" s="9" t="s">
        <v>15</v>
      </c>
      <c r="I51" s="16" t="s">
        <v>18</v>
      </c>
      <c r="J51" s="16" t="s">
        <v>16</v>
      </c>
      <c r="K51" s="16" t="s">
        <v>12</v>
      </c>
    </row>
    <row r="52" spans="1:15" x14ac:dyDescent="0.25">
      <c r="B52" s="10">
        <v>2013</v>
      </c>
      <c r="C52" s="11">
        <v>4488.9048500498293</v>
      </c>
      <c r="D52" s="11">
        <v>1073183.6651212492</v>
      </c>
      <c r="E52" s="17">
        <f>F29</f>
        <v>1073183.6651212492</v>
      </c>
      <c r="F52" s="17"/>
      <c r="G52" s="21">
        <v>14.6</v>
      </c>
      <c r="H52" s="21"/>
      <c r="I52" s="17"/>
      <c r="J52" s="17"/>
      <c r="K52" s="31">
        <v>6.1068774097789651E-2</v>
      </c>
    </row>
    <row r="53" spans="1:15" x14ac:dyDescent="0.25">
      <c r="B53" s="10">
        <v>2014</v>
      </c>
      <c r="C53" s="11">
        <v>4409.1759291458902</v>
      </c>
      <c r="D53" s="11">
        <v>976651.16433813574</v>
      </c>
      <c r="E53" s="17">
        <f t="shared" ref="E53:E69" si="5">F30</f>
        <v>976651.16433813574</v>
      </c>
      <c r="F53" s="17"/>
      <c r="G53" s="21">
        <v>14.6</v>
      </c>
      <c r="H53" s="21"/>
      <c r="I53" s="17"/>
      <c r="J53" s="17"/>
      <c r="K53" s="31">
        <v>6.5912959423086767E-2</v>
      </c>
    </row>
    <row r="54" spans="1:15" x14ac:dyDescent="0.25">
      <c r="B54" s="10">
        <v>2015</v>
      </c>
      <c r="C54" s="11">
        <v>4697.8044143992256</v>
      </c>
      <c r="D54" s="11">
        <v>1019571.4085290028</v>
      </c>
      <c r="E54" s="17">
        <f t="shared" si="5"/>
        <v>1019571.4085290028</v>
      </c>
      <c r="F54" s="17"/>
      <c r="G54" s="21">
        <v>14.6</v>
      </c>
      <c r="H54" s="21"/>
      <c r="I54" s="17"/>
      <c r="J54" s="17"/>
      <c r="K54" s="31">
        <v>6.7271349389038532E-2</v>
      </c>
    </row>
    <row r="55" spans="1:15" x14ac:dyDescent="0.25">
      <c r="B55" s="10">
        <v>2016</v>
      </c>
      <c r="C55" s="11">
        <v>4861.015568828896</v>
      </c>
      <c r="D55" s="11">
        <v>1117970.6924468274</v>
      </c>
      <c r="E55" s="17">
        <f t="shared" si="5"/>
        <v>1117970.6924468274</v>
      </c>
      <c r="F55" s="17"/>
      <c r="G55" s="21">
        <v>14.6</v>
      </c>
      <c r="H55" s="21"/>
      <c r="I55" s="17"/>
      <c r="J55" s="17"/>
      <c r="K55" s="31">
        <v>6.3481831665526761E-2</v>
      </c>
    </row>
    <row r="56" spans="1:15" x14ac:dyDescent="0.25">
      <c r="B56" s="10">
        <v>2017</v>
      </c>
      <c r="C56" s="11">
        <v>4774.6817019902828</v>
      </c>
      <c r="D56" s="11">
        <v>1053030.9082251894</v>
      </c>
      <c r="E56" s="17">
        <f t="shared" si="5"/>
        <v>1053030.9082251894</v>
      </c>
      <c r="F56" s="17"/>
      <c r="G56" s="21">
        <v>14.6</v>
      </c>
      <c r="H56" s="21">
        <v>14.6</v>
      </c>
      <c r="I56" s="17">
        <f>F56*K56/H56</f>
        <v>0</v>
      </c>
      <c r="J56" s="17"/>
      <c r="K56" s="31">
        <v>6.6199721493977889E-2</v>
      </c>
    </row>
    <row r="57" spans="1:15" x14ac:dyDescent="0.25">
      <c r="A57" s="3" t="s">
        <v>3</v>
      </c>
      <c r="B57" s="10">
        <v>2018</v>
      </c>
      <c r="C57" s="11">
        <v>4784.7519434793039</v>
      </c>
      <c r="D57" s="11">
        <v>1166385.7116395417</v>
      </c>
      <c r="E57" s="17">
        <f t="shared" si="5"/>
        <v>1114743.4259252562</v>
      </c>
      <c r="F57" s="17">
        <f>D11</f>
        <v>51443.285714285448</v>
      </c>
      <c r="G57" s="21">
        <v>14.6</v>
      </c>
      <c r="H57" s="21">
        <v>16.155472</v>
      </c>
      <c r="I57" s="17">
        <f t="shared" ref="I57:I69" si="6">F57*K57/H57</f>
        <v>190.7124919777599</v>
      </c>
      <c r="J57" s="20">
        <f>J56+I56</f>
        <v>0</v>
      </c>
      <c r="K57" s="22">
        <v>5.9892176042350614E-2</v>
      </c>
      <c r="L57" s="2">
        <f t="shared" ref="L57:L65" si="7">E57*K57/G57</f>
        <v>4572.9047607923612</v>
      </c>
      <c r="M57" s="2">
        <f t="shared" ref="M57:M65" si="8">F57*K57/H57</f>
        <v>190.7124919777599</v>
      </c>
      <c r="N57" s="2">
        <f>L57+SUM($M$57:M57)</f>
        <v>4763.617252770121</v>
      </c>
      <c r="O57" s="2">
        <f>N57-L57</f>
        <v>190.71249197775978</v>
      </c>
    </row>
    <row r="58" spans="1:15" x14ac:dyDescent="0.25">
      <c r="B58" s="10">
        <v>2019</v>
      </c>
      <c r="C58" s="11">
        <v>4809.2963508437269</v>
      </c>
      <c r="D58" s="11">
        <v>1206991.5861911501</v>
      </c>
      <c r="E58" s="17">
        <f t="shared" si="5"/>
        <v>1099417.8719054374</v>
      </c>
      <c r="F58" s="17">
        <f t="shared" ref="F58:F69" si="9">D12</f>
        <v>55651.428571427241</v>
      </c>
      <c r="G58" s="21">
        <v>14.6</v>
      </c>
      <c r="H58" s="21">
        <v>16.750673599999999</v>
      </c>
      <c r="I58" s="17">
        <f t="shared" si="6"/>
        <v>193.01920707600496</v>
      </c>
      <c r="J58" s="20">
        <f t="shared" ref="J58:J69" si="10">J57+I57</f>
        <v>190.7124919777599</v>
      </c>
      <c r="K58" s="22">
        <v>5.8097371788241418E-2</v>
      </c>
      <c r="L58" s="2">
        <f t="shared" si="7"/>
        <v>4374.8827982689982</v>
      </c>
      <c r="M58" s="2">
        <f t="shared" si="8"/>
        <v>193.01920707600496</v>
      </c>
      <c r="N58" s="2">
        <f>L58+SUM($M$57:M58)</f>
        <v>4758.6144973227629</v>
      </c>
      <c r="O58" s="2">
        <f t="shared" ref="O58:O69" si="11">N58-L58</f>
        <v>383.73169905376471</v>
      </c>
    </row>
    <row r="59" spans="1:15" s="14" customFormat="1" x14ac:dyDescent="0.25">
      <c r="B59" s="10">
        <v>2020</v>
      </c>
      <c r="C59" s="11">
        <v>4845.536453345142</v>
      </c>
      <c r="D59" s="11">
        <v>1247784.1313553418</v>
      </c>
      <c r="E59" s="17">
        <f t="shared" si="5"/>
        <v>1079989.8456410584</v>
      </c>
      <c r="F59" s="17">
        <f t="shared" si="9"/>
        <v>59125.651948051425</v>
      </c>
      <c r="G59" s="21">
        <v>14.6</v>
      </c>
      <c r="H59" s="21">
        <v>17.3883896</v>
      </c>
      <c r="I59" s="17">
        <f t="shared" si="6"/>
        <v>192.05852518643152</v>
      </c>
      <c r="J59" s="20">
        <f t="shared" si="10"/>
        <v>383.73169905376483</v>
      </c>
      <c r="K59" s="22">
        <v>5.6482902968702828E-2</v>
      </c>
      <c r="L59" s="8">
        <f t="shared" si="7"/>
        <v>4178.1480588033046</v>
      </c>
      <c r="M59" s="8">
        <f t="shared" si="8"/>
        <v>192.05852518643152</v>
      </c>
      <c r="N59" s="8">
        <f>L59+SUM($M$57:M59)</f>
        <v>4753.9382830435006</v>
      </c>
      <c r="O59" s="8">
        <f t="shared" si="11"/>
        <v>575.79022424019604</v>
      </c>
    </row>
    <row r="60" spans="1:15" x14ac:dyDescent="0.25">
      <c r="B60" s="10">
        <v>2021</v>
      </c>
      <c r="C60" s="11">
        <v>4893.1151305214926</v>
      </c>
      <c r="D60" s="11">
        <v>1288748.2711188961</v>
      </c>
      <c r="E60" s="17">
        <f t="shared" si="5"/>
        <v>1056444.2711188979</v>
      </c>
      <c r="F60" s="17">
        <f t="shared" si="9"/>
        <v>62163.906493506751</v>
      </c>
      <c r="G60" s="21">
        <v>14.6</v>
      </c>
      <c r="H60" s="21">
        <v>18.153648800000003</v>
      </c>
      <c r="I60" s="17">
        <f t="shared" si="6"/>
        <v>188.46940035068351</v>
      </c>
      <c r="J60" s="20">
        <f t="shared" si="10"/>
        <v>575.79022424019638</v>
      </c>
      <c r="K60" s="22">
        <v>5.5038486100777537E-2</v>
      </c>
      <c r="L60" s="2">
        <f t="shared" si="7"/>
        <v>3982.5406391933921</v>
      </c>
      <c r="M60" s="2">
        <f t="shared" si="8"/>
        <v>188.46940035068351</v>
      </c>
      <c r="N60" s="2">
        <f>L60+SUM($M$57:M60)</f>
        <v>4746.8002637842719</v>
      </c>
      <c r="O60" s="2">
        <f t="shared" si="11"/>
        <v>764.25962459087987</v>
      </c>
    </row>
    <row r="61" spans="1:15" x14ac:dyDescent="0.25">
      <c r="B61" s="10">
        <v>2022</v>
      </c>
      <c r="C61" s="11">
        <v>4952.0423023853336</v>
      </c>
      <c r="D61" s="11">
        <v>1329857.3224403893</v>
      </c>
      <c r="E61" s="17">
        <f t="shared" si="5"/>
        <v>1028754.4652975349</v>
      </c>
      <c r="F61" s="17">
        <f t="shared" si="9"/>
        <v>65046.19220779145</v>
      </c>
      <c r="G61" s="21">
        <v>14.6</v>
      </c>
      <c r="H61" s="21">
        <v>19.003936800000002</v>
      </c>
      <c r="I61" s="17">
        <f t="shared" si="6"/>
        <v>184.01136707244177</v>
      </c>
      <c r="J61" s="20">
        <f t="shared" si="10"/>
        <v>764.25962459087987</v>
      </c>
      <c r="K61" s="22">
        <v>5.3760877795201813E-2</v>
      </c>
      <c r="L61" s="2">
        <f t="shared" si="7"/>
        <v>3788.1330883649975</v>
      </c>
      <c r="M61" s="2">
        <f t="shared" si="8"/>
        <v>184.01136707244177</v>
      </c>
      <c r="N61" s="2">
        <f>L61+SUM($M$57:M61)</f>
        <v>4736.4040800283192</v>
      </c>
      <c r="O61" s="2">
        <f t="shared" si="11"/>
        <v>948.27099166332164</v>
      </c>
    </row>
    <row r="62" spans="1:15" x14ac:dyDescent="0.25">
      <c r="B62" s="10">
        <v>2023</v>
      </c>
      <c r="C62" s="11">
        <v>5022.1493287186813</v>
      </c>
      <c r="D62" s="11">
        <v>1371090.8945916586</v>
      </c>
      <c r="E62" s="17">
        <f t="shared" si="5"/>
        <v>996900.03744880413</v>
      </c>
      <c r="F62" s="17">
        <f t="shared" si="9"/>
        <v>67772.509090909094</v>
      </c>
      <c r="G62" s="21">
        <v>14.6</v>
      </c>
      <c r="H62" s="21">
        <v>19.896739199999999</v>
      </c>
      <c r="I62" s="17">
        <f t="shared" si="6"/>
        <v>179.32252389706559</v>
      </c>
      <c r="J62" s="20">
        <f>J61+I61</f>
        <v>948.27099166332164</v>
      </c>
      <c r="K62" s="22">
        <v>5.2645734067182107E-2</v>
      </c>
      <c r="L62" s="2">
        <f t="shared" si="7"/>
        <v>3594.6941276091529</v>
      </c>
      <c r="M62" s="2">
        <f t="shared" si="8"/>
        <v>179.32252389706559</v>
      </c>
      <c r="N62" s="2">
        <f>L62+SUM($M$57:M62)</f>
        <v>4722.2876431695404</v>
      </c>
      <c r="O62" s="2">
        <f t="shared" si="11"/>
        <v>1127.5935155603875</v>
      </c>
    </row>
    <row r="63" spans="1:15" x14ac:dyDescent="0.25">
      <c r="B63" s="10">
        <v>2024</v>
      </c>
      <c r="C63" s="11">
        <v>5103.1187691104178</v>
      </c>
      <c r="D63" s="11">
        <v>1412434.5035978679</v>
      </c>
      <c r="E63" s="17">
        <f t="shared" si="5"/>
        <v>960866.50359787163</v>
      </c>
      <c r="F63" s="17">
        <f t="shared" si="9"/>
        <v>70342.85714285617</v>
      </c>
      <c r="G63" s="21">
        <v>14.6</v>
      </c>
      <c r="H63" s="21">
        <v>20.832056000000001</v>
      </c>
      <c r="I63" s="17">
        <f t="shared" si="6"/>
        <v>174.53285676351709</v>
      </c>
      <c r="J63" s="20">
        <f t="shared" si="10"/>
        <v>1127.5935155603872</v>
      </c>
      <c r="K63" s="22">
        <v>5.1687952318365801E-2</v>
      </c>
      <c r="L63" s="2">
        <f t="shared" si="7"/>
        <v>3401.7275357727162</v>
      </c>
      <c r="M63" s="2">
        <f t="shared" si="8"/>
        <v>174.53285676351709</v>
      </c>
      <c r="N63" s="2">
        <f>L63+SUM($M$57:M63)</f>
        <v>4703.8539080966202</v>
      </c>
      <c r="O63" s="2">
        <f t="shared" si="11"/>
        <v>1302.126372323904</v>
      </c>
    </row>
    <row r="64" spans="1:15" x14ac:dyDescent="0.25">
      <c r="B64" s="10">
        <v>2025</v>
      </c>
      <c r="C64" s="11">
        <v>5195.5160642926385</v>
      </c>
      <c r="D64" s="11">
        <v>1453842.0175012546</v>
      </c>
      <c r="E64" s="17">
        <f t="shared" si="5"/>
        <v>920607.73178697284</v>
      </c>
      <c r="F64" s="17">
        <f t="shared" si="9"/>
        <v>72757.236363636126</v>
      </c>
      <c r="G64" s="21">
        <v>14.6</v>
      </c>
      <c r="H64" s="21">
        <v>21.809887199999999</v>
      </c>
      <c r="I64" s="17">
        <f t="shared" si="6"/>
        <v>169.79604694378511</v>
      </c>
      <c r="J64" s="20">
        <f t="shared" si="10"/>
        <v>1302.1263723239044</v>
      </c>
      <c r="K64" s="22">
        <v>5.089847850104328E-2</v>
      </c>
      <c r="L64" s="2">
        <f t="shared" si="7"/>
        <v>3209.4200578255795</v>
      </c>
      <c r="M64" s="2">
        <f t="shared" si="8"/>
        <v>169.79604694378511</v>
      </c>
      <c r="N64" s="2">
        <f>L64+SUM($M$57:M64)</f>
        <v>4681.3424770932688</v>
      </c>
      <c r="O64" s="2">
        <f t="shared" si="11"/>
        <v>1471.9224192676893</v>
      </c>
    </row>
    <row r="65" spans="2:15" x14ac:dyDescent="0.25">
      <c r="B65" s="10">
        <v>2026</v>
      </c>
      <c r="C65" s="11">
        <v>5299.0832939312513</v>
      </c>
      <c r="D65" s="11">
        <v>1495296.6218874408</v>
      </c>
      <c r="E65" s="17">
        <f t="shared" si="5"/>
        <v>876106.90760173183</v>
      </c>
      <c r="F65" s="17">
        <f t="shared" si="9"/>
        <v>75015.646753245586</v>
      </c>
      <c r="G65" s="21">
        <v>14.6</v>
      </c>
      <c r="H65" s="21">
        <v>21.809887199999999</v>
      </c>
      <c r="I65" s="17">
        <f t="shared" si="6"/>
        <v>172.92900830320642</v>
      </c>
      <c r="J65" s="20">
        <f t="shared" si="10"/>
        <v>1471.9224192676895</v>
      </c>
      <c r="K65" s="22">
        <v>5.0277006570467471E-2</v>
      </c>
      <c r="L65" s="2">
        <f t="shared" si="7"/>
        <v>3016.9885445153573</v>
      </c>
      <c r="M65" s="2">
        <f t="shared" si="8"/>
        <v>172.92900830320642</v>
      </c>
      <c r="N65" s="2">
        <f>L65+SUM($M$57:M65)</f>
        <v>4661.8399720862535</v>
      </c>
      <c r="O65" s="2">
        <f t="shared" si="11"/>
        <v>1644.8514275708962</v>
      </c>
    </row>
    <row r="66" spans="2:15" x14ac:dyDescent="0.25">
      <c r="B66" s="10">
        <v>2027</v>
      </c>
      <c r="C66" s="11">
        <v>5413.8700580907316</v>
      </c>
      <c r="D66" s="11">
        <v>1536770.45903657</v>
      </c>
      <c r="E66" s="17">
        <f t="shared" si="5"/>
        <v>827336.17332229018</v>
      </c>
      <c r="F66" s="17">
        <f t="shared" si="9"/>
        <v>77118.088311687854</v>
      </c>
      <c r="G66" s="21">
        <v>14.6</v>
      </c>
      <c r="H66" s="21">
        <v>21.809887199999999</v>
      </c>
      <c r="I66" s="17">
        <f t="shared" si="6"/>
        <v>176.19841442464391</v>
      </c>
      <c r="J66" s="20">
        <f t="shared" si="10"/>
        <v>1644.851427570896</v>
      </c>
      <c r="K66" s="22">
        <v>4.9830949230596E-2</v>
      </c>
      <c r="L66" s="2">
        <f>E66*K66/G66</f>
        <v>2823.7634828396313</v>
      </c>
      <c r="M66" s="2">
        <f>F66*K66/H66</f>
        <v>176.19841442464391</v>
      </c>
      <c r="N66" s="2">
        <f>L66+SUM($M$57:M66)</f>
        <v>4644.8133248351714</v>
      </c>
      <c r="O66" s="2">
        <f t="shared" si="11"/>
        <v>1821.0498419955402</v>
      </c>
    </row>
    <row r="67" spans="2:15" x14ac:dyDescent="0.25">
      <c r="B67" s="10">
        <v>2028</v>
      </c>
      <c r="C67" s="11">
        <v>5539.9656368863471</v>
      </c>
      <c r="D67" s="11">
        <v>1578233.9588539612</v>
      </c>
      <c r="E67" s="17">
        <f t="shared" si="5"/>
        <v>774265.95885396679</v>
      </c>
      <c r="F67" s="17">
        <f t="shared" si="9"/>
        <v>79064.561038961256</v>
      </c>
      <c r="G67" s="21">
        <v>14.6</v>
      </c>
      <c r="H67" s="21">
        <v>21.809887199999999</v>
      </c>
      <c r="I67" s="17">
        <f t="shared" si="6"/>
        <v>179.70614103609924</v>
      </c>
      <c r="J67" s="20">
        <f t="shared" si="10"/>
        <v>1821.04984199554</v>
      </c>
      <c r="K67" s="22">
        <v>4.9571775440746917E-2</v>
      </c>
      <c r="L67" s="2">
        <f t="shared" ref="L67:L69" si="12">E67*K67/G67</f>
        <v>2628.8861810769477</v>
      </c>
      <c r="M67" s="2">
        <f t="shared" ref="M67:M69" si="13">F67*K67/H67</f>
        <v>179.70614103609924</v>
      </c>
      <c r="N67" s="2">
        <f>L67+SUM($M$57:M67)</f>
        <v>4629.6421641085872</v>
      </c>
      <c r="O67" s="2">
        <f t="shared" si="11"/>
        <v>2000.7559830316395</v>
      </c>
    </row>
    <row r="68" spans="2:15" x14ac:dyDescent="0.25">
      <c r="B68" s="10">
        <v>2029</v>
      </c>
      <c r="C68" s="11">
        <v>5677.2013900999818</v>
      </c>
      <c r="D68" s="11">
        <v>1619667.6062884759</v>
      </c>
      <c r="E68" s="17">
        <f t="shared" si="5"/>
        <v>716876.74914562516</v>
      </c>
      <c r="F68" s="17">
        <f t="shared" si="9"/>
        <v>80855.064935064278</v>
      </c>
      <c r="G68" s="21">
        <v>14.6</v>
      </c>
      <c r="H68" s="21">
        <v>21.809887199999999</v>
      </c>
      <c r="I68" s="17">
        <f t="shared" si="6"/>
        <v>183.54718757975343</v>
      </c>
      <c r="J68" s="20">
        <f t="shared" si="10"/>
        <v>2000.7559830316393</v>
      </c>
      <c r="K68" s="22">
        <v>4.9510113685600751E-2</v>
      </c>
      <c r="L68" s="2">
        <f t="shared" si="12"/>
        <v>2431.0033800523147</v>
      </c>
      <c r="M68" s="2">
        <f t="shared" si="13"/>
        <v>183.54718757975343</v>
      </c>
      <c r="N68" s="2">
        <f>L68+SUM($M$57:M68)</f>
        <v>4615.3065506637067</v>
      </c>
      <c r="O68" s="2">
        <f t="shared" si="11"/>
        <v>2184.303170611392</v>
      </c>
    </row>
    <row r="69" spans="2:15" x14ac:dyDescent="0.25">
      <c r="B69" s="10">
        <v>2030</v>
      </c>
      <c r="C69" s="11">
        <v>5826.0534783480334</v>
      </c>
      <c r="D69" s="11">
        <v>1661026.0804002865</v>
      </c>
      <c r="E69" s="17">
        <f t="shared" si="5"/>
        <v>655123.22325743572</v>
      </c>
      <c r="F69" s="17">
        <f t="shared" si="9"/>
        <v>82489.600000000006</v>
      </c>
      <c r="G69" s="21">
        <v>14.6</v>
      </c>
      <c r="H69" s="21">
        <v>21.809887199999999</v>
      </c>
      <c r="I69" s="17">
        <f t="shared" si="6"/>
        <v>187.88411122913794</v>
      </c>
      <c r="J69" s="20">
        <f t="shared" si="10"/>
        <v>2184.3031706113925</v>
      </c>
      <c r="K69" s="22">
        <v>4.9675732123561661E-2</v>
      </c>
      <c r="L69" s="2">
        <f t="shared" si="12"/>
        <v>2229.0223114014152</v>
      </c>
      <c r="M69" s="2">
        <f t="shared" si="13"/>
        <v>187.88411122913794</v>
      </c>
      <c r="N69" s="2">
        <f>L69+SUM($M$57:M69)</f>
        <v>4601.2095932419452</v>
      </c>
      <c r="O69" s="2">
        <f t="shared" si="11"/>
        <v>2372.18728184053</v>
      </c>
    </row>
    <row r="70" spans="2:15" x14ac:dyDescent="0.25">
      <c r="B70" t="s">
        <v>23</v>
      </c>
      <c r="C70" t="s">
        <v>24</v>
      </c>
      <c r="D70" t="s">
        <v>25</v>
      </c>
      <c r="E70" t="s">
        <v>27</v>
      </c>
    </row>
    <row r="72" spans="2:15" ht="18" x14ac:dyDescent="0.35">
      <c r="E72" s="1"/>
      <c r="F72" s="3" t="s">
        <v>70</v>
      </c>
    </row>
    <row r="73" spans="2:15" ht="38.25" x14ac:dyDescent="0.25">
      <c r="B73" s="24" t="s">
        <v>0</v>
      </c>
      <c r="C73" s="24" t="s">
        <v>1</v>
      </c>
      <c r="D73" s="25" t="s">
        <v>5</v>
      </c>
      <c r="E73" s="25" t="s">
        <v>6</v>
      </c>
      <c r="F73" s="23" t="s">
        <v>71</v>
      </c>
      <c r="G73" s="25" t="s">
        <v>72</v>
      </c>
      <c r="H73" s="25" t="s">
        <v>73</v>
      </c>
      <c r="I73" s="25" t="s">
        <v>74</v>
      </c>
    </row>
    <row r="74" spans="2:15" x14ac:dyDescent="0.25">
      <c r="B74" s="26">
        <v>2013</v>
      </c>
      <c r="C74" s="27">
        <v>1073183.6651212492</v>
      </c>
      <c r="D74" s="28"/>
      <c r="E74" s="28">
        <f>F29</f>
        <v>1073183.6651212492</v>
      </c>
      <c r="F74" s="27">
        <v>4488.9048500498293</v>
      </c>
      <c r="G74" s="28">
        <f>H6</f>
        <v>0</v>
      </c>
      <c r="H74" s="28">
        <f>G29</f>
        <v>4488.9048500498293</v>
      </c>
      <c r="I74" s="28">
        <f>G74+H74</f>
        <v>4488.9048500498293</v>
      </c>
    </row>
    <row r="75" spans="2:15" x14ac:dyDescent="0.25">
      <c r="B75" s="26">
        <v>2014</v>
      </c>
      <c r="C75" s="27">
        <v>976651.16433813574</v>
      </c>
      <c r="D75" s="28"/>
      <c r="E75" s="28">
        <f t="shared" ref="E75:E91" si="14">F30</f>
        <v>976651.16433813574</v>
      </c>
      <c r="F75" s="27">
        <v>4409.1759291458902</v>
      </c>
      <c r="G75" s="28">
        <f t="shared" ref="G75:G91" si="15">H7</f>
        <v>0</v>
      </c>
      <c r="H75" s="28">
        <f t="shared" ref="H75:H91" si="16">G30</f>
        <v>4409.1759291458893</v>
      </c>
      <c r="I75" s="28">
        <f t="shared" ref="I75:I91" si="17">G75+H75</f>
        <v>4409.1759291458893</v>
      </c>
    </row>
    <row r="76" spans="2:15" x14ac:dyDescent="0.25">
      <c r="B76" s="26">
        <v>2015</v>
      </c>
      <c r="C76" s="27">
        <v>1019571.4085290028</v>
      </c>
      <c r="D76" s="28"/>
      <c r="E76" s="28">
        <f t="shared" si="14"/>
        <v>1019571.4085290028</v>
      </c>
      <c r="F76" s="27">
        <v>4697.8044143992256</v>
      </c>
      <c r="G76" s="28">
        <f t="shared" si="15"/>
        <v>0</v>
      </c>
      <c r="H76" s="28">
        <f t="shared" si="16"/>
        <v>4697.8044143992256</v>
      </c>
      <c r="I76" s="28">
        <f t="shared" si="17"/>
        <v>4697.8044143992256</v>
      </c>
    </row>
    <row r="77" spans="2:15" x14ac:dyDescent="0.25">
      <c r="B77" s="26">
        <v>2016</v>
      </c>
      <c r="C77" s="27">
        <v>1117970.6924468274</v>
      </c>
      <c r="D77" s="28"/>
      <c r="E77" s="28">
        <f t="shared" si="14"/>
        <v>1117970.6924468274</v>
      </c>
      <c r="F77" s="27">
        <v>4861.015568828896</v>
      </c>
      <c r="G77" s="28">
        <f t="shared" si="15"/>
        <v>0</v>
      </c>
      <c r="H77" s="28">
        <f t="shared" si="16"/>
        <v>4861.0155688288969</v>
      </c>
      <c r="I77" s="28">
        <f t="shared" si="17"/>
        <v>4861.0155688288969</v>
      </c>
    </row>
    <row r="78" spans="2:15" x14ac:dyDescent="0.25">
      <c r="B78" s="26">
        <v>2017</v>
      </c>
      <c r="C78" s="27">
        <v>1053030.9082251894</v>
      </c>
      <c r="D78" s="28"/>
      <c r="E78" s="28">
        <f t="shared" si="14"/>
        <v>1053030.9082251894</v>
      </c>
      <c r="F78" s="27">
        <v>4774.6817019902828</v>
      </c>
      <c r="G78" s="28">
        <f t="shared" si="15"/>
        <v>0</v>
      </c>
      <c r="H78" s="28">
        <f t="shared" si="16"/>
        <v>4774.6817019902837</v>
      </c>
      <c r="I78" s="28">
        <f t="shared" si="17"/>
        <v>4774.6817019902837</v>
      </c>
    </row>
    <row r="79" spans="2:15" x14ac:dyDescent="0.25">
      <c r="B79" s="26">
        <v>2018</v>
      </c>
      <c r="C79" s="27">
        <v>1166385.7116395417</v>
      </c>
      <c r="D79" s="28">
        <f>F11</f>
        <v>51443.285714285448</v>
      </c>
      <c r="E79" s="28">
        <f t="shared" si="14"/>
        <v>1114743.4259252562</v>
      </c>
      <c r="F79" s="27">
        <v>4784.7519434793039</v>
      </c>
      <c r="G79" s="28">
        <f t="shared" si="15"/>
        <v>190.7124919777599</v>
      </c>
      <c r="H79" s="28">
        <f t="shared" si="16"/>
        <v>4572.9047607923612</v>
      </c>
      <c r="I79" s="28">
        <f t="shared" si="17"/>
        <v>4763.617252770121</v>
      </c>
    </row>
    <row r="80" spans="2:15" x14ac:dyDescent="0.25">
      <c r="B80" s="26">
        <v>2019</v>
      </c>
      <c r="C80" s="27">
        <v>1206991.5861911501</v>
      </c>
      <c r="D80" s="28">
        <f t="shared" ref="D80:D91" si="18">F12</f>
        <v>107094.71428571269</v>
      </c>
      <c r="E80" s="28">
        <f t="shared" si="14"/>
        <v>1099417.8719054374</v>
      </c>
      <c r="F80" s="27">
        <v>4809.2963508437269</v>
      </c>
      <c r="G80" s="28">
        <f t="shared" si="15"/>
        <v>383.73169905376483</v>
      </c>
      <c r="H80" s="28">
        <f t="shared" si="16"/>
        <v>4374.8827982689982</v>
      </c>
      <c r="I80" s="28">
        <f t="shared" si="17"/>
        <v>4758.6144973227629</v>
      </c>
    </row>
    <row r="81" spans="2:11" x14ac:dyDescent="0.25">
      <c r="B81" s="26">
        <v>2020</v>
      </c>
      <c r="C81" s="27">
        <v>1247784.1313553418</v>
      </c>
      <c r="D81" s="28">
        <f t="shared" si="18"/>
        <v>166220.3662337641</v>
      </c>
      <c r="E81" s="28">
        <f t="shared" si="14"/>
        <v>1079989.8456410584</v>
      </c>
      <c r="F81" s="27">
        <v>4845.536453345142</v>
      </c>
      <c r="G81" s="28">
        <f t="shared" si="15"/>
        <v>575.79022424019638</v>
      </c>
      <c r="H81" s="28">
        <f t="shared" si="16"/>
        <v>4178.1480588033046</v>
      </c>
      <c r="I81" s="28">
        <f t="shared" si="17"/>
        <v>4753.9382830435006</v>
      </c>
    </row>
    <row r="82" spans="2:11" x14ac:dyDescent="0.25">
      <c r="B82" s="26">
        <v>2021</v>
      </c>
      <c r="C82" s="27">
        <v>1288748.2711188961</v>
      </c>
      <c r="D82" s="28">
        <f t="shared" si="18"/>
        <v>228384.27272727084</v>
      </c>
      <c r="E82" s="28">
        <f t="shared" si="14"/>
        <v>1056444.2711188979</v>
      </c>
      <c r="F82" s="27">
        <v>4893.1151305214926</v>
      </c>
      <c r="G82" s="28">
        <f t="shared" si="15"/>
        <v>764.25962459087987</v>
      </c>
      <c r="H82" s="28">
        <f t="shared" si="16"/>
        <v>3982.5406391933921</v>
      </c>
      <c r="I82" s="28">
        <f t="shared" si="17"/>
        <v>4746.8002637842719</v>
      </c>
    </row>
    <row r="83" spans="2:11" x14ac:dyDescent="0.25">
      <c r="B83" s="26">
        <v>2022</v>
      </c>
      <c r="C83" s="27">
        <v>1329857.3224403893</v>
      </c>
      <c r="D83" s="28">
        <f t="shared" si="18"/>
        <v>293430.46493506228</v>
      </c>
      <c r="E83" s="28">
        <f t="shared" si="14"/>
        <v>1028754.4652975349</v>
      </c>
      <c r="F83" s="27">
        <v>4952.0423023853336</v>
      </c>
      <c r="G83" s="28">
        <f t="shared" si="15"/>
        <v>948.27099166332164</v>
      </c>
      <c r="H83" s="28">
        <f t="shared" si="16"/>
        <v>3788.1330883649975</v>
      </c>
      <c r="I83" s="28">
        <f t="shared" si="17"/>
        <v>4736.4040800283192</v>
      </c>
    </row>
    <row r="84" spans="2:11" x14ac:dyDescent="0.25">
      <c r="B84" s="26">
        <v>2023</v>
      </c>
      <c r="C84" s="27">
        <v>1371090.8945916586</v>
      </c>
      <c r="D84" s="28">
        <f t="shared" si="18"/>
        <v>361202.97402597137</v>
      </c>
      <c r="E84" s="28">
        <f t="shared" si="14"/>
        <v>996900.03744880413</v>
      </c>
      <c r="F84" s="27">
        <v>5022.1493287186813</v>
      </c>
      <c r="G84" s="28">
        <f t="shared" si="15"/>
        <v>1127.5935155603872</v>
      </c>
      <c r="H84" s="28">
        <f t="shared" si="16"/>
        <v>3594.6941276091529</v>
      </c>
      <c r="I84" s="28">
        <f t="shared" si="17"/>
        <v>4722.2876431695404</v>
      </c>
    </row>
    <row r="85" spans="2:11" x14ac:dyDescent="0.25">
      <c r="B85" s="26">
        <v>2024</v>
      </c>
      <c r="C85" s="27">
        <v>1412434.5035978679</v>
      </c>
      <c r="D85" s="28">
        <f t="shared" si="18"/>
        <v>431545.83116882754</v>
      </c>
      <c r="E85" s="28">
        <f t="shared" si="14"/>
        <v>960866.50359787163</v>
      </c>
      <c r="F85" s="27">
        <v>5103.1187691104178</v>
      </c>
      <c r="G85" s="28">
        <f t="shared" si="15"/>
        <v>1302.1263723239044</v>
      </c>
      <c r="H85" s="28">
        <f t="shared" si="16"/>
        <v>3401.7275357727162</v>
      </c>
      <c r="I85" s="28">
        <f t="shared" si="17"/>
        <v>4703.8539080966202</v>
      </c>
    </row>
    <row r="86" spans="2:11" x14ac:dyDescent="0.25">
      <c r="B86" s="26">
        <v>2025</v>
      </c>
      <c r="C86" s="27">
        <v>1453842.0175012546</v>
      </c>
      <c r="D86" s="28">
        <f t="shared" si="18"/>
        <v>504303.0675324637</v>
      </c>
      <c r="E86" s="28">
        <f t="shared" si="14"/>
        <v>920607.73178697284</v>
      </c>
      <c r="F86" s="27">
        <v>5195.5160642926385</v>
      </c>
      <c r="G86" s="28">
        <f t="shared" si="15"/>
        <v>1471.9224192676895</v>
      </c>
      <c r="H86" s="28">
        <f t="shared" si="16"/>
        <v>3209.4200578255795</v>
      </c>
      <c r="I86" s="28">
        <f t="shared" si="17"/>
        <v>4681.3424770932688</v>
      </c>
    </row>
    <row r="87" spans="2:11" x14ac:dyDescent="0.25">
      <c r="B87" s="26">
        <v>2026</v>
      </c>
      <c r="C87" s="27">
        <v>1495296.6218874408</v>
      </c>
      <c r="D87" s="28">
        <f t="shared" si="18"/>
        <v>579318.71428570931</v>
      </c>
      <c r="E87" s="28">
        <f t="shared" si="14"/>
        <v>876106.90760173183</v>
      </c>
      <c r="F87" s="27">
        <v>5299.0832939312513</v>
      </c>
      <c r="G87" s="28">
        <f t="shared" si="15"/>
        <v>1644.851427570896</v>
      </c>
      <c r="H87" s="28">
        <f t="shared" si="16"/>
        <v>3016.9885445153573</v>
      </c>
      <c r="I87" s="28">
        <f t="shared" si="17"/>
        <v>4661.8399720862535</v>
      </c>
    </row>
    <row r="88" spans="2:11" x14ac:dyDescent="0.25">
      <c r="B88" s="26">
        <v>2027</v>
      </c>
      <c r="C88" s="27">
        <v>1536770.45903657</v>
      </c>
      <c r="D88" s="28">
        <f t="shared" si="18"/>
        <v>656436.80259739712</v>
      </c>
      <c r="E88" s="28">
        <f t="shared" si="14"/>
        <v>827336.17332229018</v>
      </c>
      <c r="F88" s="27">
        <v>5413.8700580907316</v>
      </c>
      <c r="G88" s="28">
        <f t="shared" si="15"/>
        <v>1821.04984199554</v>
      </c>
      <c r="H88" s="28">
        <f t="shared" si="16"/>
        <v>2823.7634828396313</v>
      </c>
      <c r="I88" s="28">
        <f t="shared" si="17"/>
        <v>4644.8133248351714</v>
      </c>
    </row>
    <row r="89" spans="2:11" x14ac:dyDescent="0.25">
      <c r="B89" s="26">
        <v>2028</v>
      </c>
      <c r="C89" s="27">
        <v>1578233.9588539612</v>
      </c>
      <c r="D89" s="28">
        <f t="shared" si="18"/>
        <v>735501.36363635841</v>
      </c>
      <c r="E89" s="28">
        <f t="shared" si="14"/>
        <v>774265.95885396679</v>
      </c>
      <c r="F89" s="27">
        <v>5539.9656368863471</v>
      </c>
      <c r="G89" s="28">
        <f t="shared" si="15"/>
        <v>2000.7559830316393</v>
      </c>
      <c r="H89" s="28">
        <f t="shared" si="16"/>
        <v>2628.8861810769477</v>
      </c>
      <c r="I89" s="28">
        <f t="shared" si="17"/>
        <v>4629.6421641085872</v>
      </c>
    </row>
    <row r="90" spans="2:11" x14ac:dyDescent="0.25">
      <c r="B90" s="26">
        <v>2029</v>
      </c>
      <c r="C90" s="27">
        <v>1619667.6062884759</v>
      </c>
      <c r="D90" s="28">
        <f t="shared" si="18"/>
        <v>816356.4285714227</v>
      </c>
      <c r="E90" s="28">
        <f t="shared" si="14"/>
        <v>716876.74914562516</v>
      </c>
      <c r="F90" s="27">
        <v>5677.2013900999818</v>
      </c>
      <c r="G90" s="28">
        <f t="shared" si="15"/>
        <v>2184.3031706113925</v>
      </c>
      <c r="H90" s="28">
        <f t="shared" si="16"/>
        <v>2431.0033800523147</v>
      </c>
      <c r="I90" s="28">
        <f t="shared" si="17"/>
        <v>4615.3065506637067</v>
      </c>
    </row>
    <row r="91" spans="2:11" x14ac:dyDescent="0.25">
      <c r="B91" s="26">
        <v>2030</v>
      </c>
      <c r="C91" s="27">
        <v>1661026.0804002865</v>
      </c>
      <c r="D91" s="28">
        <f t="shared" si="18"/>
        <v>898846.02857142268</v>
      </c>
      <c r="E91" s="28">
        <f t="shared" si="14"/>
        <v>655123.22325743572</v>
      </c>
      <c r="F91" s="27">
        <v>5826.0534783480334</v>
      </c>
      <c r="G91" s="28">
        <f t="shared" si="15"/>
        <v>2372.1872818405304</v>
      </c>
      <c r="H91" s="28">
        <f t="shared" si="16"/>
        <v>2229.0223114014152</v>
      </c>
      <c r="I91" s="28">
        <f t="shared" si="17"/>
        <v>4601.2095932419452</v>
      </c>
      <c r="K91" s="2">
        <f>F91-I91</f>
        <v>1224.8438851060882</v>
      </c>
    </row>
    <row r="92" spans="2:11" x14ac:dyDescent="0.25">
      <c r="B92" t="s">
        <v>23</v>
      </c>
      <c r="C92" t="s">
        <v>24</v>
      </c>
      <c r="D92" t="s">
        <v>25</v>
      </c>
      <c r="E92" t="s">
        <v>27</v>
      </c>
    </row>
  </sheetData>
  <mergeCells count="3">
    <mergeCell ref="E4:H4"/>
    <mergeCell ref="E27:H27"/>
    <mergeCell ref="B50:K50"/>
  </mergeCells>
  <pageMargins left="0.7" right="0.7" top="0.75" bottom="0.75" header="0.3" footer="0.3"/>
  <ignoredErrors>
    <ignoredError sqref="F33:F45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C181-5E0D-406E-8DE3-2836F6F524A1}">
  <dimension ref="A2:O92"/>
  <sheetViews>
    <sheetView zoomScale="80" zoomScaleNormal="80" workbookViewId="0">
      <selection activeCell="S26" sqref="S26"/>
    </sheetView>
  </sheetViews>
  <sheetFormatPr baseColWidth="10" defaultRowHeight="15" x14ac:dyDescent="0.25"/>
  <cols>
    <col min="2" max="4" width="18.140625" customWidth="1"/>
    <col min="5" max="5" width="20.5703125" customWidth="1"/>
    <col min="6" max="6" width="30.140625" customWidth="1"/>
    <col min="7" max="7" width="23.7109375" customWidth="1"/>
    <col min="8" max="8" width="23.28515625" customWidth="1"/>
    <col min="9" max="9" width="28" customWidth="1"/>
    <col min="10" max="10" width="23.7109375" customWidth="1"/>
    <col min="11" max="11" width="18.140625" customWidth="1"/>
    <col min="12" max="12" width="17" customWidth="1"/>
  </cols>
  <sheetData>
    <row r="2" spans="1:12" x14ac:dyDescent="0.25">
      <c r="D2">
        <v>1</v>
      </c>
    </row>
    <row r="3" spans="1:12" x14ac:dyDescent="0.25">
      <c r="I3" s="5"/>
      <c r="J3" s="13"/>
      <c r="K3" s="13"/>
      <c r="L3" s="14"/>
    </row>
    <row r="4" spans="1:12" x14ac:dyDescent="0.25">
      <c r="B4" s="32"/>
      <c r="C4" s="33"/>
      <c r="D4" s="33"/>
      <c r="E4" s="68" t="s">
        <v>10</v>
      </c>
      <c r="F4" s="68"/>
      <c r="G4" s="68"/>
      <c r="H4" s="68"/>
      <c r="I4" s="34"/>
      <c r="J4" s="13"/>
      <c r="K4" s="13"/>
      <c r="L4" s="14"/>
    </row>
    <row r="5" spans="1:12" ht="45" x14ac:dyDescent="0.25">
      <c r="B5" s="9" t="s">
        <v>0</v>
      </c>
      <c r="C5" s="9" t="s">
        <v>22</v>
      </c>
      <c r="D5" s="9" t="s">
        <v>44</v>
      </c>
      <c r="E5" s="9" t="s">
        <v>33</v>
      </c>
      <c r="F5" s="16" t="s">
        <v>36</v>
      </c>
      <c r="G5" s="16" t="s">
        <v>8</v>
      </c>
      <c r="H5" s="16" t="s">
        <v>9</v>
      </c>
      <c r="I5" s="9" t="s">
        <v>4</v>
      </c>
      <c r="J5" s="14"/>
      <c r="K5" s="7"/>
      <c r="L5" s="14"/>
    </row>
    <row r="6" spans="1:12" x14ac:dyDescent="0.25">
      <c r="B6" s="10">
        <v>2013</v>
      </c>
      <c r="C6" s="11">
        <v>1073183.6651212492</v>
      </c>
      <c r="D6" s="11">
        <f>D29*$D$2-E6</f>
        <v>28898</v>
      </c>
      <c r="E6" s="11"/>
      <c r="F6" s="17"/>
      <c r="G6" s="18"/>
      <c r="H6" s="18"/>
      <c r="I6" s="10"/>
      <c r="J6" s="14"/>
      <c r="K6" s="6"/>
      <c r="L6" s="14"/>
    </row>
    <row r="7" spans="1:12" x14ac:dyDescent="0.25">
      <c r="B7" s="10">
        <v>2014</v>
      </c>
      <c r="C7" s="11">
        <v>976651.16433813574</v>
      </c>
      <c r="D7" s="11">
        <f t="shared" ref="D7:D22" si="0">D30*$D$2-E7</f>
        <v>28300</v>
      </c>
      <c r="E7" s="11"/>
      <c r="F7" s="17"/>
      <c r="G7" s="18"/>
      <c r="H7" s="18"/>
      <c r="I7" s="10"/>
      <c r="J7" s="8"/>
      <c r="K7" s="6"/>
      <c r="L7" s="8"/>
    </row>
    <row r="8" spans="1:12" x14ac:dyDescent="0.25">
      <c r="B8" s="10">
        <v>2015</v>
      </c>
      <c r="C8" s="11">
        <v>1019571.4085290028</v>
      </c>
      <c r="D8" s="11">
        <f t="shared" si="0"/>
        <v>37202</v>
      </c>
      <c r="E8" s="11"/>
      <c r="F8" s="17"/>
      <c r="G8" s="18"/>
      <c r="H8" s="18"/>
      <c r="I8" s="10"/>
      <c r="J8" s="8"/>
      <c r="K8" s="6"/>
      <c r="L8" s="8"/>
    </row>
    <row r="9" spans="1:12" x14ac:dyDescent="0.25">
      <c r="B9" s="10">
        <v>2016</v>
      </c>
      <c r="C9" s="11">
        <v>1117970.6924468274</v>
      </c>
      <c r="D9" s="11">
        <f t="shared" si="0"/>
        <v>48314</v>
      </c>
      <c r="E9" s="11"/>
      <c r="F9" s="17"/>
      <c r="G9" s="18"/>
      <c r="H9" s="18"/>
      <c r="I9" s="10"/>
      <c r="J9" s="14"/>
      <c r="K9" s="6"/>
      <c r="L9" s="14"/>
    </row>
    <row r="10" spans="1:12" x14ac:dyDescent="0.25">
      <c r="B10" s="10">
        <v>2017</v>
      </c>
      <c r="C10" s="11">
        <v>1053030.9082251894</v>
      </c>
      <c r="D10" s="11">
        <f t="shared" si="0"/>
        <v>47353.142857141793</v>
      </c>
      <c r="E10" s="11"/>
      <c r="F10" s="17"/>
      <c r="G10" s="18"/>
      <c r="H10" s="18"/>
      <c r="I10" s="10"/>
      <c r="J10" s="14"/>
      <c r="K10" s="6"/>
      <c r="L10" s="14"/>
    </row>
    <row r="11" spans="1:12" x14ac:dyDescent="0.25">
      <c r="A11" s="3" t="s">
        <v>3</v>
      </c>
      <c r="B11" s="10">
        <v>2018</v>
      </c>
      <c r="C11" s="11">
        <v>1166385.7116395417</v>
      </c>
      <c r="D11" s="11">
        <f>D34*$D$2-E11</f>
        <v>51443.285714285448</v>
      </c>
      <c r="E11" s="11">
        <v>199</v>
      </c>
      <c r="F11" s="17">
        <f>D11+F10</f>
        <v>51443.285714285448</v>
      </c>
      <c r="G11" s="17">
        <f t="shared" ref="G11:G23" si="1">D11*K57/I11</f>
        <v>211.03084412307703</v>
      </c>
      <c r="H11" s="17">
        <f>H10+G11</f>
        <v>211.03084412307703</v>
      </c>
      <c r="I11" s="12">
        <v>14.6</v>
      </c>
      <c r="J11" s="14"/>
      <c r="K11" s="6"/>
      <c r="L11" s="14"/>
    </row>
    <row r="12" spans="1:12" x14ac:dyDescent="0.25">
      <c r="B12" s="10">
        <v>2019</v>
      </c>
      <c r="C12" s="11">
        <v>1206991.5861911501</v>
      </c>
      <c r="D12" s="11">
        <f t="shared" si="0"/>
        <v>55651.428571427241</v>
      </c>
      <c r="E12" s="11">
        <v>280</v>
      </c>
      <c r="F12" s="17">
        <f>D12+F11</f>
        <v>107094.71428571269</v>
      </c>
      <c r="G12" s="17">
        <f t="shared" si="1"/>
        <v>221.45217371650477</v>
      </c>
      <c r="H12" s="17">
        <f t="shared" ref="H12:H23" si="2">H11+G12</f>
        <v>432.48301783958181</v>
      </c>
      <c r="I12" s="12">
        <v>14.6</v>
      </c>
      <c r="J12" s="14"/>
      <c r="K12" s="6"/>
      <c r="L12" s="14"/>
    </row>
    <row r="13" spans="1:12" x14ac:dyDescent="0.25">
      <c r="B13" s="10">
        <v>2020</v>
      </c>
      <c r="C13" s="11">
        <v>1247784.1313553418</v>
      </c>
      <c r="D13" s="11">
        <f t="shared" si="0"/>
        <v>59125.651948051425</v>
      </c>
      <c r="E13" s="11">
        <v>1094.9194805194709</v>
      </c>
      <c r="F13" s="17">
        <f>D13+F12</f>
        <v>166220.3662337641</v>
      </c>
      <c r="G13" s="17">
        <f t="shared" si="1"/>
        <v>228.73893574952632</v>
      </c>
      <c r="H13" s="17">
        <f t="shared" si="2"/>
        <v>661.22195358910813</v>
      </c>
      <c r="I13" s="12">
        <v>14.6</v>
      </c>
      <c r="J13" s="14"/>
      <c r="K13" s="6"/>
      <c r="L13" s="14"/>
    </row>
    <row r="14" spans="1:12" x14ac:dyDescent="0.25">
      <c r="B14" s="10">
        <v>2021</v>
      </c>
      <c r="C14" s="11">
        <v>1288748.2711188961</v>
      </c>
      <c r="D14" s="11">
        <f t="shared" si="0"/>
        <v>62163.906493506751</v>
      </c>
      <c r="E14" s="11">
        <v>2345.8077922078023</v>
      </c>
      <c r="F14" s="17">
        <f>D14+F13</f>
        <v>228384.27272727084</v>
      </c>
      <c r="G14" s="17">
        <f t="shared" si="1"/>
        <v>234.34296599403464</v>
      </c>
      <c r="H14" s="17">
        <f t="shared" si="2"/>
        <v>895.5649195831428</v>
      </c>
      <c r="I14" s="12">
        <v>14.6</v>
      </c>
      <c r="J14" s="14"/>
      <c r="K14" s="6"/>
      <c r="L14" s="14"/>
    </row>
    <row r="15" spans="1:12" x14ac:dyDescent="0.25">
      <c r="B15" s="10">
        <v>2022</v>
      </c>
      <c r="C15" s="11">
        <v>1329857.3224403893</v>
      </c>
      <c r="D15" s="11">
        <f t="shared" si="0"/>
        <v>65046.19220779145</v>
      </c>
      <c r="E15" s="11">
        <v>3752.6649350648913</v>
      </c>
      <c r="F15" s="17">
        <f>D15+F14</f>
        <v>293430.46493506228</v>
      </c>
      <c r="G15" s="17">
        <f t="shared" si="1"/>
        <v>239.51646509084142</v>
      </c>
      <c r="H15" s="17">
        <f t="shared" si="2"/>
        <v>1135.0813846739843</v>
      </c>
      <c r="I15" s="12">
        <v>14.6</v>
      </c>
      <c r="J15" s="14"/>
      <c r="K15" s="6"/>
      <c r="L15" s="14"/>
    </row>
    <row r="16" spans="1:12" x14ac:dyDescent="0.25">
      <c r="B16" s="10">
        <v>2023</v>
      </c>
      <c r="C16" s="11">
        <v>1371090.8945916586</v>
      </c>
      <c r="D16" s="11">
        <f t="shared" si="0"/>
        <v>67772.509090909094</v>
      </c>
      <c r="E16" s="11">
        <v>5315.4909090909105</v>
      </c>
      <c r="F16" s="17">
        <f t="shared" ref="F16:F22" si="3">D16+F15</f>
        <v>361202.97402597137</v>
      </c>
      <c r="G16" s="17">
        <f t="shared" si="1"/>
        <v>244.3790062099782</v>
      </c>
      <c r="H16" s="17">
        <f t="shared" si="2"/>
        <v>1379.4603908839624</v>
      </c>
      <c r="I16" s="12">
        <v>14.6</v>
      </c>
      <c r="J16" s="14"/>
      <c r="K16" s="6"/>
      <c r="L16" s="14"/>
    </row>
    <row r="17" spans="2:12" x14ac:dyDescent="0.25">
      <c r="B17" s="10">
        <v>2024</v>
      </c>
      <c r="C17" s="11">
        <v>1412434.5035978679</v>
      </c>
      <c r="D17" s="11">
        <f t="shared" si="0"/>
        <v>70342.85714285617</v>
      </c>
      <c r="E17" s="11">
        <v>7034.2857142856192</v>
      </c>
      <c r="F17" s="17">
        <f t="shared" si="3"/>
        <v>431545.83116882754</v>
      </c>
      <c r="G17" s="17">
        <f t="shared" si="1"/>
        <v>249.03275657106624</v>
      </c>
      <c r="H17" s="17">
        <f t="shared" si="2"/>
        <v>1628.4931474550287</v>
      </c>
      <c r="I17" s="12">
        <v>14.6</v>
      </c>
      <c r="J17" s="14"/>
      <c r="K17" s="6"/>
      <c r="L17" s="14"/>
    </row>
    <row r="18" spans="2:12" x14ac:dyDescent="0.25">
      <c r="B18" s="10">
        <v>2025</v>
      </c>
      <c r="C18" s="11">
        <v>1453842.0175012546</v>
      </c>
      <c r="D18" s="11">
        <f t="shared" si="0"/>
        <v>72757.236363636126</v>
      </c>
      <c r="E18" s="11">
        <v>8909.0493506493222</v>
      </c>
      <c r="F18" s="17">
        <f t="shared" si="3"/>
        <v>504303.0675324637</v>
      </c>
      <c r="G18" s="17">
        <f t="shared" si="1"/>
        <v>253.64607060615464</v>
      </c>
      <c r="H18" s="17">
        <f t="shared" si="2"/>
        <v>1882.1392180611833</v>
      </c>
      <c r="I18" s="12">
        <v>14.6</v>
      </c>
      <c r="J18" s="14"/>
      <c r="K18" s="6"/>
      <c r="L18" s="14"/>
    </row>
    <row r="19" spans="2:12" x14ac:dyDescent="0.25">
      <c r="B19" s="10">
        <v>2026</v>
      </c>
      <c r="C19" s="11">
        <v>1495296.6218874408</v>
      </c>
      <c r="D19" s="11">
        <f t="shared" si="0"/>
        <v>75015.646753245586</v>
      </c>
      <c r="E19" s="11">
        <v>10939.781818181649</v>
      </c>
      <c r="F19" s="17">
        <f t="shared" si="3"/>
        <v>579318.71428570931</v>
      </c>
      <c r="G19" s="17">
        <f t="shared" si="1"/>
        <v>258.32617566443804</v>
      </c>
      <c r="H19" s="17">
        <f t="shared" si="2"/>
        <v>2140.4653937256212</v>
      </c>
      <c r="I19" s="12">
        <v>14.6</v>
      </c>
      <c r="J19" s="14"/>
      <c r="K19" s="6"/>
      <c r="L19" s="14"/>
    </row>
    <row r="20" spans="2:12" x14ac:dyDescent="0.25">
      <c r="B20" s="10">
        <v>2027</v>
      </c>
      <c r="C20" s="11">
        <v>1536770.45903657</v>
      </c>
      <c r="D20" s="11">
        <f t="shared" si="0"/>
        <v>77118.088311687854</v>
      </c>
      <c r="E20" s="11">
        <v>13126.483116883042</v>
      </c>
      <c r="F20" s="17">
        <f t="shared" si="3"/>
        <v>656436.80259739712</v>
      </c>
      <c r="G20" s="17">
        <f t="shared" si="1"/>
        <v>263.2101057137217</v>
      </c>
      <c r="H20" s="17">
        <f t="shared" si="2"/>
        <v>2403.6754994393427</v>
      </c>
      <c r="I20" s="12">
        <v>14.6</v>
      </c>
      <c r="J20" s="14"/>
      <c r="K20" s="6"/>
      <c r="L20" s="14"/>
    </row>
    <row r="21" spans="2:12" x14ac:dyDescent="0.25">
      <c r="B21" s="10">
        <v>2028</v>
      </c>
      <c r="C21" s="11">
        <v>1578233.9588539612</v>
      </c>
      <c r="D21" s="11">
        <f t="shared" si="0"/>
        <v>79064.561038961256</v>
      </c>
      <c r="E21" s="11">
        <v>15469.153246753292</v>
      </c>
      <c r="F21" s="17">
        <f t="shared" si="3"/>
        <v>735501.36363635841</v>
      </c>
      <c r="G21" s="17">
        <f t="shared" si="1"/>
        <v>268.45004555785033</v>
      </c>
      <c r="H21" s="17">
        <f t="shared" si="2"/>
        <v>2672.1255449971932</v>
      </c>
      <c r="I21" s="12">
        <v>14.6</v>
      </c>
      <c r="J21" s="14"/>
      <c r="K21" s="6"/>
      <c r="L21" s="14"/>
    </row>
    <row r="22" spans="2:12" x14ac:dyDescent="0.25">
      <c r="B22" s="10">
        <v>2029</v>
      </c>
      <c r="C22" s="11">
        <v>1619667.6062884759</v>
      </c>
      <c r="D22" s="11">
        <f t="shared" si="0"/>
        <v>80855.064935064278</v>
      </c>
      <c r="E22" s="11">
        <v>17967.792207792067</v>
      </c>
      <c r="F22" s="17">
        <f t="shared" si="3"/>
        <v>816356.4285714227</v>
      </c>
      <c r="G22" s="17">
        <f t="shared" si="1"/>
        <v>274.18790801312764</v>
      </c>
      <c r="H22" s="17">
        <f t="shared" si="2"/>
        <v>2946.3134530103207</v>
      </c>
      <c r="I22" s="12">
        <v>14.6</v>
      </c>
      <c r="J22" s="14"/>
      <c r="K22" s="6"/>
      <c r="L22" s="14"/>
    </row>
    <row r="23" spans="2:12" x14ac:dyDescent="0.25">
      <c r="B23" s="10">
        <v>2030</v>
      </c>
      <c r="C23" s="11">
        <v>1661026.0804002865</v>
      </c>
      <c r="D23" s="11">
        <f>D46*$D$2-E23</f>
        <v>82489.600000000006</v>
      </c>
      <c r="E23" s="11">
        <v>20622.400000000001</v>
      </c>
      <c r="F23" s="17">
        <f>D23+F22</f>
        <v>898846.02857142268</v>
      </c>
      <c r="G23" s="17">
        <f t="shared" si="1"/>
        <v>280.6665255191611</v>
      </c>
      <c r="H23" s="17">
        <f t="shared" si="2"/>
        <v>3226.9799785294817</v>
      </c>
      <c r="I23" s="12">
        <v>14.6</v>
      </c>
      <c r="J23" s="14"/>
      <c r="K23" s="6"/>
      <c r="L23" s="14"/>
    </row>
    <row r="24" spans="2:12" x14ac:dyDescent="0.25">
      <c r="B24" t="s">
        <v>23</v>
      </c>
      <c r="C24" t="s">
        <v>24</v>
      </c>
      <c r="D24" t="s">
        <v>25</v>
      </c>
      <c r="E24" t="s">
        <v>27</v>
      </c>
      <c r="F24" s="5"/>
      <c r="I24" s="5"/>
      <c r="J24" s="5"/>
      <c r="K24" s="13"/>
    </row>
    <row r="25" spans="2:12" x14ac:dyDescent="0.25">
      <c r="B25" t="s">
        <v>32</v>
      </c>
      <c r="F25" s="5"/>
      <c r="I25" s="5"/>
      <c r="J25" s="5"/>
      <c r="K25" s="13"/>
    </row>
    <row r="26" spans="2:12" x14ac:dyDescent="0.25">
      <c r="F26" s="5"/>
      <c r="I26" s="5"/>
      <c r="J26" s="5"/>
      <c r="K26" s="5"/>
    </row>
    <row r="27" spans="2:12" x14ac:dyDescent="0.25">
      <c r="B27" s="32"/>
      <c r="C27" s="33"/>
      <c r="D27" s="33"/>
      <c r="E27" s="68" t="s">
        <v>11</v>
      </c>
      <c r="F27" s="68"/>
      <c r="G27" s="68"/>
      <c r="H27" s="68"/>
      <c r="I27" s="34"/>
      <c r="J27" s="5"/>
      <c r="K27" s="5"/>
    </row>
    <row r="28" spans="2:12" ht="30" x14ac:dyDescent="0.25">
      <c r="B28" s="9" t="s">
        <v>0</v>
      </c>
      <c r="C28" s="30" t="s">
        <v>2</v>
      </c>
      <c r="D28" s="30" t="s">
        <v>2</v>
      </c>
      <c r="E28" s="16"/>
      <c r="F28" s="16" t="s">
        <v>6</v>
      </c>
      <c r="G28" s="16" t="s">
        <v>7</v>
      </c>
      <c r="H28" s="16"/>
      <c r="I28" s="9" t="s">
        <v>4</v>
      </c>
      <c r="J28" s="5"/>
      <c r="K28" s="5"/>
    </row>
    <row r="29" spans="2:12" x14ac:dyDescent="0.25">
      <c r="B29" s="10">
        <v>2013</v>
      </c>
      <c r="C29" s="29">
        <v>28898</v>
      </c>
      <c r="D29" s="29">
        <v>28898</v>
      </c>
      <c r="E29" s="17"/>
      <c r="F29" s="17">
        <f>C6-F6-SUM($E$6:E6)</f>
        <v>1073183.6651212492</v>
      </c>
      <c r="G29" s="17">
        <f>F29*K52/I29</f>
        <v>4488.9048500498293</v>
      </c>
      <c r="H29" s="17"/>
      <c r="I29" s="12">
        <v>14.6</v>
      </c>
      <c r="J29" s="5"/>
      <c r="K29" s="5" t="s">
        <v>21</v>
      </c>
    </row>
    <row r="30" spans="2:12" x14ac:dyDescent="0.25">
      <c r="B30" s="10">
        <v>2014</v>
      </c>
      <c r="C30" s="29">
        <v>28300</v>
      </c>
      <c r="D30" s="29">
        <v>28300</v>
      </c>
      <c r="E30" s="17"/>
      <c r="F30" s="17">
        <f>C7-F7-SUM($E$6:E7)</f>
        <v>976651.16433813574</v>
      </c>
      <c r="G30" s="17">
        <f t="shared" ref="G30:G46" si="4">F30*K53/I30</f>
        <v>4409.1759291458893</v>
      </c>
      <c r="H30" s="17"/>
      <c r="I30" s="12">
        <v>14.6</v>
      </c>
    </row>
    <row r="31" spans="2:12" x14ac:dyDescent="0.25">
      <c r="B31" s="10">
        <v>2015</v>
      </c>
      <c r="C31" s="29">
        <v>37202</v>
      </c>
      <c r="D31" s="29">
        <v>37202</v>
      </c>
      <c r="E31" s="17"/>
      <c r="F31" s="17">
        <f>C8-F8-SUM($E$6:E8)</f>
        <v>1019571.4085290028</v>
      </c>
      <c r="G31" s="17">
        <f t="shared" si="4"/>
        <v>4697.8044143992256</v>
      </c>
      <c r="H31" s="17"/>
      <c r="I31" s="12">
        <v>14.6</v>
      </c>
    </row>
    <row r="32" spans="2:12" x14ac:dyDescent="0.25">
      <c r="B32" s="10">
        <v>2016</v>
      </c>
      <c r="C32" s="29">
        <v>48314</v>
      </c>
      <c r="D32" s="29">
        <v>48314</v>
      </c>
      <c r="E32" s="17"/>
      <c r="F32" s="17">
        <f>C9-F9-SUM($E$6:E9)</f>
        <v>1117970.6924468274</v>
      </c>
      <c r="G32" s="17">
        <f t="shared" si="4"/>
        <v>4861.0155688288969</v>
      </c>
      <c r="H32" s="17"/>
      <c r="I32" s="12">
        <v>14.6</v>
      </c>
    </row>
    <row r="33" spans="1:9" x14ac:dyDescent="0.25">
      <c r="B33" s="10">
        <v>2017</v>
      </c>
      <c r="C33" s="29">
        <v>47353.142857141793</v>
      </c>
      <c r="D33" s="29">
        <v>47353.142857141793</v>
      </c>
      <c r="E33" s="17"/>
      <c r="F33" s="17">
        <f>C10-F10-SUM($E$6:E10)</f>
        <v>1053030.9082251894</v>
      </c>
      <c r="G33" s="17">
        <f t="shared" si="4"/>
        <v>4774.6817019902837</v>
      </c>
      <c r="H33" s="17"/>
      <c r="I33" s="12">
        <v>14.6</v>
      </c>
    </row>
    <row r="34" spans="1:9" x14ac:dyDescent="0.25">
      <c r="A34" s="3" t="s">
        <v>3</v>
      </c>
      <c r="B34" s="10">
        <v>2018</v>
      </c>
      <c r="C34" s="29">
        <v>51642.285714285448</v>
      </c>
      <c r="D34" s="29">
        <v>51642.285714285448</v>
      </c>
      <c r="E34" s="17"/>
      <c r="F34" s="17">
        <f>C11-F11-SUM($E$6:E11)</f>
        <v>1114743.4259252562</v>
      </c>
      <c r="G34" s="17">
        <f t="shared" si="4"/>
        <v>4572.9047607923612</v>
      </c>
      <c r="H34" s="17"/>
      <c r="I34" s="12">
        <v>14.6</v>
      </c>
    </row>
    <row r="35" spans="1:9" x14ac:dyDescent="0.25">
      <c r="B35" s="10">
        <v>2019</v>
      </c>
      <c r="C35" s="29">
        <v>55931.428571427241</v>
      </c>
      <c r="D35" s="29">
        <v>55931.428571427241</v>
      </c>
      <c r="E35" s="17"/>
      <c r="F35" s="17">
        <f>C12-F12-SUM($E$6:E12)</f>
        <v>1099417.8719054374</v>
      </c>
      <c r="G35" s="17">
        <f t="shared" si="4"/>
        <v>4374.8827982689982</v>
      </c>
      <c r="H35" s="17"/>
      <c r="I35" s="12">
        <v>14.6</v>
      </c>
    </row>
    <row r="36" spans="1:9" x14ac:dyDescent="0.25">
      <c r="B36" s="10">
        <v>2020</v>
      </c>
      <c r="C36" s="29">
        <v>60220.571428570896</v>
      </c>
      <c r="D36" s="29">
        <v>60220.571428570896</v>
      </c>
      <c r="E36" s="17"/>
      <c r="F36" s="17">
        <f>C13-F13-SUM($E$6:E13)</f>
        <v>1079989.8456410584</v>
      </c>
      <c r="G36" s="17">
        <f t="shared" si="4"/>
        <v>4178.1480588033046</v>
      </c>
      <c r="H36" s="17"/>
      <c r="I36" s="12">
        <v>14.6</v>
      </c>
    </row>
    <row r="37" spans="1:9" x14ac:dyDescent="0.25">
      <c r="B37" s="10">
        <v>2021</v>
      </c>
      <c r="C37" s="29">
        <v>64509.714285714552</v>
      </c>
      <c r="D37" s="29">
        <v>64509.714285714552</v>
      </c>
      <c r="E37" s="17"/>
      <c r="F37" s="17">
        <f>C14-F14-SUM($E$6:E14)</f>
        <v>1056444.2711188979</v>
      </c>
      <c r="G37" s="17">
        <f t="shared" si="4"/>
        <v>3982.5406391933921</v>
      </c>
      <c r="H37" s="17"/>
      <c r="I37" s="12">
        <v>14.6</v>
      </c>
    </row>
    <row r="38" spans="1:9" x14ac:dyDescent="0.25">
      <c r="B38" s="10">
        <v>2022</v>
      </c>
      <c r="C38" s="29">
        <v>68798.857142856345</v>
      </c>
      <c r="D38" s="29">
        <v>68798.857142856345</v>
      </c>
      <c r="E38" s="17"/>
      <c r="F38" s="17">
        <f>C15-F15-SUM($E$6:E15)</f>
        <v>1028754.4652975349</v>
      </c>
      <c r="G38" s="17">
        <f t="shared" si="4"/>
        <v>3788.1330883649975</v>
      </c>
      <c r="H38" s="17"/>
      <c r="I38" s="12">
        <v>14.6</v>
      </c>
    </row>
    <row r="39" spans="1:9" x14ac:dyDescent="0.25">
      <c r="B39" s="10">
        <v>2023</v>
      </c>
      <c r="C39" s="29">
        <v>73088</v>
      </c>
      <c r="D39" s="29">
        <v>73088</v>
      </c>
      <c r="E39" s="17"/>
      <c r="F39" s="17">
        <f>C16-F16-SUM($E$6:E16)</f>
        <v>996900.03744880413</v>
      </c>
      <c r="G39" s="17">
        <f t="shared" si="4"/>
        <v>3594.6941276091529</v>
      </c>
      <c r="H39" s="17"/>
      <c r="I39" s="12">
        <v>14.6</v>
      </c>
    </row>
    <row r="40" spans="1:9" x14ac:dyDescent="0.25">
      <c r="B40" s="10">
        <v>2024</v>
      </c>
      <c r="C40" s="29">
        <v>77377.142857141793</v>
      </c>
      <c r="D40" s="29">
        <v>77377.142857141793</v>
      </c>
      <c r="E40" s="17"/>
      <c r="F40" s="17">
        <f>C17-F17-SUM($E$6:E17)</f>
        <v>960866.50359787163</v>
      </c>
      <c r="G40" s="17">
        <f t="shared" si="4"/>
        <v>3401.7275357727162</v>
      </c>
      <c r="H40" s="17"/>
      <c r="I40" s="12">
        <v>14.6</v>
      </c>
    </row>
    <row r="41" spans="1:9" x14ac:dyDescent="0.25">
      <c r="B41" s="10">
        <v>2025</v>
      </c>
      <c r="C41" s="29">
        <v>81666.285714285448</v>
      </c>
      <c r="D41" s="29">
        <v>81666.285714285448</v>
      </c>
      <c r="E41" s="17"/>
      <c r="F41" s="17">
        <f>C18-F18-SUM($E$6:E18)</f>
        <v>920607.73178697284</v>
      </c>
      <c r="G41" s="17">
        <f t="shared" si="4"/>
        <v>3209.4200578255795</v>
      </c>
      <c r="H41" s="17"/>
      <c r="I41" s="12">
        <v>14.6</v>
      </c>
    </row>
    <row r="42" spans="1:9" x14ac:dyDescent="0.25">
      <c r="B42" s="10">
        <v>2026</v>
      </c>
      <c r="C42" s="29">
        <v>85955.428571427241</v>
      </c>
      <c r="D42" s="29">
        <v>85955.428571427241</v>
      </c>
      <c r="E42" s="17"/>
      <c r="F42" s="17">
        <f>C19-F19-SUM($E$6:E19)</f>
        <v>876106.90760173183</v>
      </c>
      <c r="G42" s="17">
        <f t="shared" si="4"/>
        <v>3016.9885445153573</v>
      </c>
      <c r="H42" s="17"/>
      <c r="I42" s="12">
        <v>14.6</v>
      </c>
    </row>
    <row r="43" spans="1:9" x14ac:dyDescent="0.25">
      <c r="B43" s="10">
        <v>2027</v>
      </c>
      <c r="C43" s="29">
        <v>90244.571428570896</v>
      </c>
      <c r="D43" s="29">
        <v>90244.571428570896</v>
      </c>
      <c r="E43" s="17"/>
      <c r="F43" s="17">
        <f>C20-F20-SUM($E$6:E20)</f>
        <v>827336.17332229018</v>
      </c>
      <c r="G43" s="17">
        <f t="shared" si="4"/>
        <v>2823.7634828396313</v>
      </c>
      <c r="H43" s="17"/>
      <c r="I43" s="12">
        <v>14.6</v>
      </c>
    </row>
    <row r="44" spans="1:9" x14ac:dyDescent="0.25">
      <c r="B44" s="10">
        <v>2028</v>
      </c>
      <c r="C44" s="29">
        <v>94533.714285714552</v>
      </c>
      <c r="D44" s="29">
        <v>94533.714285714552</v>
      </c>
      <c r="E44" s="17"/>
      <c r="F44" s="17">
        <f>C21-F21-SUM($E$6:E21)</f>
        <v>774265.95885396679</v>
      </c>
      <c r="G44" s="17">
        <f t="shared" si="4"/>
        <v>2628.8861810769477</v>
      </c>
      <c r="H44" s="17"/>
      <c r="I44" s="12">
        <v>14.6</v>
      </c>
    </row>
    <row r="45" spans="1:9" x14ac:dyDescent="0.25">
      <c r="B45" s="10">
        <v>2029</v>
      </c>
      <c r="C45" s="29">
        <v>98822.857142856345</v>
      </c>
      <c r="D45" s="29">
        <v>98822.857142856345</v>
      </c>
      <c r="E45" s="17"/>
      <c r="F45" s="17">
        <f>C22-F22-SUM($E$6:E22)</f>
        <v>716876.74914562516</v>
      </c>
      <c r="G45" s="17">
        <f t="shared" si="4"/>
        <v>2431.0033800523147</v>
      </c>
      <c r="H45" s="17"/>
      <c r="I45" s="12">
        <v>14.6</v>
      </c>
    </row>
    <row r="46" spans="1:9" x14ac:dyDescent="0.25">
      <c r="B46" s="10">
        <v>2030</v>
      </c>
      <c r="C46" s="29">
        <v>103112</v>
      </c>
      <c r="D46" s="29">
        <v>103112</v>
      </c>
      <c r="E46" s="17"/>
      <c r="F46" s="17">
        <f>C23-F23-SUM($E$6:E23)</f>
        <v>655123.22325743572</v>
      </c>
      <c r="G46" s="17">
        <f t="shared" si="4"/>
        <v>2229.0223114014152</v>
      </c>
      <c r="H46" s="17"/>
      <c r="I46" s="12">
        <v>14.6</v>
      </c>
    </row>
    <row r="50" spans="1:15" x14ac:dyDescent="0.25">
      <c r="B50" s="68" t="s">
        <v>13</v>
      </c>
      <c r="C50" s="68"/>
      <c r="D50" s="68"/>
      <c r="E50" s="68"/>
      <c r="F50" s="68"/>
      <c r="G50" s="68"/>
      <c r="H50" s="68"/>
      <c r="I50" s="68"/>
      <c r="J50" s="68"/>
      <c r="K50" s="68"/>
    </row>
    <row r="51" spans="1:15" ht="54" x14ac:dyDescent="0.25">
      <c r="B51" s="9" t="s">
        <v>0</v>
      </c>
      <c r="C51" s="19" t="s">
        <v>30</v>
      </c>
      <c r="D51" s="9" t="s">
        <v>1</v>
      </c>
      <c r="E51" s="16" t="s">
        <v>6</v>
      </c>
      <c r="F51" s="16" t="s">
        <v>19</v>
      </c>
      <c r="G51" s="9" t="s">
        <v>14</v>
      </c>
      <c r="H51" s="9" t="s">
        <v>15</v>
      </c>
      <c r="I51" s="16" t="s">
        <v>18</v>
      </c>
      <c r="J51" s="16" t="s">
        <v>16</v>
      </c>
      <c r="K51" s="16" t="s">
        <v>12</v>
      </c>
    </row>
    <row r="52" spans="1:15" x14ac:dyDescent="0.25">
      <c r="B52" s="10">
        <v>2013</v>
      </c>
      <c r="C52" s="11">
        <v>4488.9048500498293</v>
      </c>
      <c r="D52" s="11">
        <v>1073183.6651212492</v>
      </c>
      <c r="E52" s="17">
        <f>F29</f>
        <v>1073183.6651212492</v>
      </c>
      <c r="F52" s="17"/>
      <c r="G52" s="21">
        <v>14.6</v>
      </c>
      <c r="H52" s="21"/>
      <c r="I52" s="17"/>
      <c r="J52" s="17"/>
      <c r="K52" s="31">
        <v>6.1068774097789651E-2</v>
      </c>
    </row>
    <row r="53" spans="1:15" x14ac:dyDescent="0.25">
      <c r="B53" s="10">
        <v>2014</v>
      </c>
      <c r="C53" s="11">
        <v>4409.1759291458902</v>
      </c>
      <c r="D53" s="11">
        <v>976651.16433813574</v>
      </c>
      <c r="E53" s="17">
        <f t="shared" ref="E53:E69" si="5">F30</f>
        <v>976651.16433813574</v>
      </c>
      <c r="F53" s="17"/>
      <c r="G53" s="21">
        <v>14.6</v>
      </c>
      <c r="H53" s="21"/>
      <c r="I53" s="17"/>
      <c r="J53" s="17"/>
      <c r="K53" s="31">
        <v>6.5912959423086767E-2</v>
      </c>
    </row>
    <row r="54" spans="1:15" x14ac:dyDescent="0.25">
      <c r="B54" s="10">
        <v>2015</v>
      </c>
      <c r="C54" s="11">
        <v>4697.8044143992256</v>
      </c>
      <c r="D54" s="11">
        <v>1019571.4085290028</v>
      </c>
      <c r="E54" s="17">
        <f t="shared" si="5"/>
        <v>1019571.4085290028</v>
      </c>
      <c r="F54" s="17"/>
      <c r="G54" s="21">
        <v>14.6</v>
      </c>
      <c r="H54" s="21"/>
      <c r="I54" s="17"/>
      <c r="J54" s="17"/>
      <c r="K54" s="31">
        <v>6.7271349389038532E-2</v>
      </c>
    </row>
    <row r="55" spans="1:15" x14ac:dyDescent="0.25">
      <c r="B55" s="10">
        <v>2016</v>
      </c>
      <c r="C55" s="11">
        <v>4861.015568828896</v>
      </c>
      <c r="D55" s="11">
        <v>1117970.6924468274</v>
      </c>
      <c r="E55" s="17">
        <f t="shared" si="5"/>
        <v>1117970.6924468274</v>
      </c>
      <c r="F55" s="17"/>
      <c r="G55" s="21">
        <v>14.6</v>
      </c>
      <c r="H55" s="21"/>
      <c r="I55" s="17"/>
      <c r="J55" s="17"/>
      <c r="K55" s="31">
        <v>6.3481831665526761E-2</v>
      </c>
    </row>
    <row r="56" spans="1:15" x14ac:dyDescent="0.25">
      <c r="B56" s="10">
        <v>2017</v>
      </c>
      <c r="C56" s="11">
        <v>4774.6817019902828</v>
      </c>
      <c r="D56" s="11">
        <v>1053030.9082251894</v>
      </c>
      <c r="E56" s="17">
        <f t="shared" si="5"/>
        <v>1053030.9082251894</v>
      </c>
      <c r="F56" s="17"/>
      <c r="G56" s="21">
        <v>14.6</v>
      </c>
      <c r="H56" s="21">
        <v>14.6</v>
      </c>
      <c r="I56" s="17">
        <f>F56*K56/H56</f>
        <v>0</v>
      </c>
      <c r="J56" s="17"/>
      <c r="K56" s="31">
        <v>6.6199721493977889E-2</v>
      </c>
    </row>
    <row r="57" spans="1:15" x14ac:dyDescent="0.25">
      <c r="A57" s="3" t="s">
        <v>3</v>
      </c>
      <c r="B57" s="10">
        <v>2018</v>
      </c>
      <c r="C57" s="11">
        <v>4784.7519434793039</v>
      </c>
      <c r="D57" s="11">
        <v>1166385.7116395417</v>
      </c>
      <c r="E57" s="17">
        <f t="shared" si="5"/>
        <v>1114743.4259252562</v>
      </c>
      <c r="F57" s="17">
        <f>D11</f>
        <v>51443.285714285448</v>
      </c>
      <c r="G57" s="21">
        <v>14.6</v>
      </c>
      <c r="H57" s="21">
        <v>16.155472</v>
      </c>
      <c r="I57" s="17">
        <f t="shared" ref="I57:I69" si="6">F57*K57/H57</f>
        <v>190.7124919777599</v>
      </c>
      <c r="J57" s="20">
        <f>J56+I56</f>
        <v>0</v>
      </c>
      <c r="K57" s="22">
        <v>5.9892176042350614E-2</v>
      </c>
      <c r="L57" s="2">
        <f t="shared" ref="L57:L65" si="7">E57*K57/G57</f>
        <v>4572.9047607923612</v>
      </c>
      <c r="M57" s="2">
        <f t="shared" ref="M57:M65" si="8">F57*K57/H57</f>
        <v>190.7124919777599</v>
      </c>
      <c r="N57" s="2">
        <f>L57+SUM($M$57:M57)</f>
        <v>4763.617252770121</v>
      </c>
      <c r="O57" s="2">
        <f>N57-L57</f>
        <v>190.71249197775978</v>
      </c>
    </row>
    <row r="58" spans="1:15" x14ac:dyDescent="0.25">
      <c r="B58" s="10">
        <v>2019</v>
      </c>
      <c r="C58" s="11">
        <v>4809.2963508437269</v>
      </c>
      <c r="D58" s="11">
        <v>1206991.5861911501</v>
      </c>
      <c r="E58" s="17">
        <f t="shared" si="5"/>
        <v>1099417.8719054374</v>
      </c>
      <c r="F58" s="17">
        <f t="shared" ref="F58:F69" si="9">D12</f>
        <v>55651.428571427241</v>
      </c>
      <c r="G58" s="21">
        <v>14.6</v>
      </c>
      <c r="H58" s="21">
        <v>16.750673599999999</v>
      </c>
      <c r="I58" s="17">
        <f t="shared" si="6"/>
        <v>193.01920707600496</v>
      </c>
      <c r="J58" s="20">
        <f t="shared" ref="J58:J69" si="10">J57+I57</f>
        <v>190.7124919777599</v>
      </c>
      <c r="K58" s="22">
        <v>5.8097371788241418E-2</v>
      </c>
      <c r="L58" s="2">
        <f t="shared" si="7"/>
        <v>4374.8827982689982</v>
      </c>
      <c r="M58" s="2">
        <f t="shared" si="8"/>
        <v>193.01920707600496</v>
      </c>
      <c r="N58" s="2">
        <f>L58+SUM($M$57:M58)</f>
        <v>4758.6144973227629</v>
      </c>
      <c r="O58" s="2">
        <f t="shared" ref="O58:O69" si="11">N58-L58</f>
        <v>383.73169905376471</v>
      </c>
    </row>
    <row r="59" spans="1:15" s="14" customFormat="1" x14ac:dyDescent="0.25">
      <c r="B59" s="10">
        <v>2020</v>
      </c>
      <c r="C59" s="11">
        <v>4845.536453345142</v>
      </c>
      <c r="D59" s="11">
        <v>1247784.1313553418</v>
      </c>
      <c r="E59" s="17">
        <f t="shared" si="5"/>
        <v>1079989.8456410584</v>
      </c>
      <c r="F59" s="17">
        <f t="shared" si="9"/>
        <v>59125.651948051425</v>
      </c>
      <c r="G59" s="21">
        <v>14.6</v>
      </c>
      <c r="H59" s="21">
        <v>17.3883896</v>
      </c>
      <c r="I59" s="17">
        <f t="shared" si="6"/>
        <v>192.05852518643152</v>
      </c>
      <c r="J59" s="20">
        <f t="shared" si="10"/>
        <v>383.73169905376483</v>
      </c>
      <c r="K59" s="22">
        <v>5.6482902968702828E-2</v>
      </c>
      <c r="L59" s="8">
        <f t="shared" si="7"/>
        <v>4178.1480588033046</v>
      </c>
      <c r="M59" s="8">
        <f t="shared" si="8"/>
        <v>192.05852518643152</v>
      </c>
      <c r="N59" s="8">
        <f>L59+SUM($M$57:M59)</f>
        <v>4753.9382830435006</v>
      </c>
      <c r="O59" s="8">
        <f t="shared" si="11"/>
        <v>575.79022424019604</v>
      </c>
    </row>
    <row r="60" spans="1:15" x14ac:dyDescent="0.25">
      <c r="B60" s="10">
        <v>2021</v>
      </c>
      <c r="C60" s="11">
        <v>4893.1151305214926</v>
      </c>
      <c r="D60" s="11">
        <v>1288748.2711188961</v>
      </c>
      <c r="E60" s="17">
        <f t="shared" si="5"/>
        <v>1056444.2711188979</v>
      </c>
      <c r="F60" s="17">
        <f t="shared" si="9"/>
        <v>62163.906493506751</v>
      </c>
      <c r="G60" s="21">
        <v>14.6</v>
      </c>
      <c r="H60" s="21">
        <v>18.153648800000003</v>
      </c>
      <c r="I60" s="17">
        <f t="shared" si="6"/>
        <v>188.46940035068351</v>
      </c>
      <c r="J60" s="20">
        <f t="shared" si="10"/>
        <v>575.79022424019638</v>
      </c>
      <c r="K60" s="22">
        <v>5.5038486100777537E-2</v>
      </c>
      <c r="L60" s="2">
        <f t="shared" si="7"/>
        <v>3982.5406391933921</v>
      </c>
      <c r="M60" s="2">
        <f t="shared" si="8"/>
        <v>188.46940035068351</v>
      </c>
      <c r="N60" s="2">
        <f>L60+SUM($M$57:M60)</f>
        <v>4746.8002637842719</v>
      </c>
      <c r="O60" s="2">
        <f t="shared" si="11"/>
        <v>764.25962459087987</v>
      </c>
    </row>
    <row r="61" spans="1:15" x14ac:dyDescent="0.25">
      <c r="B61" s="10">
        <v>2022</v>
      </c>
      <c r="C61" s="11">
        <v>4952.0423023853336</v>
      </c>
      <c r="D61" s="11">
        <v>1329857.3224403893</v>
      </c>
      <c r="E61" s="17">
        <f t="shared" si="5"/>
        <v>1028754.4652975349</v>
      </c>
      <c r="F61" s="17">
        <f t="shared" si="9"/>
        <v>65046.19220779145</v>
      </c>
      <c r="G61" s="21">
        <v>14.6</v>
      </c>
      <c r="H61" s="21">
        <v>19.003936800000002</v>
      </c>
      <c r="I61" s="17">
        <f t="shared" si="6"/>
        <v>184.01136707244177</v>
      </c>
      <c r="J61" s="20">
        <f t="shared" si="10"/>
        <v>764.25962459087987</v>
      </c>
      <c r="K61" s="22">
        <v>5.3760877795201813E-2</v>
      </c>
      <c r="L61" s="2">
        <f t="shared" si="7"/>
        <v>3788.1330883649975</v>
      </c>
      <c r="M61" s="2">
        <f t="shared" si="8"/>
        <v>184.01136707244177</v>
      </c>
      <c r="N61" s="2">
        <f>L61+SUM($M$57:M61)</f>
        <v>4736.4040800283192</v>
      </c>
      <c r="O61" s="2">
        <f t="shared" si="11"/>
        <v>948.27099166332164</v>
      </c>
    </row>
    <row r="62" spans="1:15" x14ac:dyDescent="0.25">
      <c r="B62" s="10">
        <v>2023</v>
      </c>
      <c r="C62" s="11">
        <v>5022.1493287186813</v>
      </c>
      <c r="D62" s="11">
        <v>1371090.8945916586</v>
      </c>
      <c r="E62" s="17">
        <f t="shared" si="5"/>
        <v>996900.03744880413</v>
      </c>
      <c r="F62" s="17">
        <f t="shared" si="9"/>
        <v>67772.509090909094</v>
      </c>
      <c r="G62" s="21">
        <v>14.6</v>
      </c>
      <c r="H62" s="21">
        <v>19.896739199999999</v>
      </c>
      <c r="I62" s="17">
        <f t="shared" si="6"/>
        <v>179.32252389706559</v>
      </c>
      <c r="J62" s="20">
        <f>J61+I61</f>
        <v>948.27099166332164</v>
      </c>
      <c r="K62" s="22">
        <v>5.2645734067182107E-2</v>
      </c>
      <c r="L62" s="2">
        <f t="shared" si="7"/>
        <v>3594.6941276091529</v>
      </c>
      <c r="M62" s="2">
        <f t="shared" si="8"/>
        <v>179.32252389706559</v>
      </c>
      <c r="N62" s="2">
        <f>L62+SUM($M$57:M62)</f>
        <v>4722.2876431695404</v>
      </c>
      <c r="O62" s="2">
        <f t="shared" si="11"/>
        <v>1127.5935155603875</v>
      </c>
    </row>
    <row r="63" spans="1:15" x14ac:dyDescent="0.25">
      <c r="B63" s="10">
        <v>2024</v>
      </c>
      <c r="C63" s="11">
        <v>5103.1187691104178</v>
      </c>
      <c r="D63" s="11">
        <v>1412434.5035978679</v>
      </c>
      <c r="E63" s="17">
        <f t="shared" si="5"/>
        <v>960866.50359787163</v>
      </c>
      <c r="F63" s="17">
        <f t="shared" si="9"/>
        <v>70342.85714285617</v>
      </c>
      <c r="G63" s="21">
        <v>14.6</v>
      </c>
      <c r="H63" s="21">
        <v>20.832056000000001</v>
      </c>
      <c r="I63" s="17">
        <f t="shared" si="6"/>
        <v>174.53285676351709</v>
      </c>
      <c r="J63" s="20">
        <f t="shared" si="10"/>
        <v>1127.5935155603872</v>
      </c>
      <c r="K63" s="22">
        <v>5.1687952318365801E-2</v>
      </c>
      <c r="L63" s="2">
        <f t="shared" si="7"/>
        <v>3401.7275357727162</v>
      </c>
      <c r="M63" s="2">
        <f t="shared" si="8"/>
        <v>174.53285676351709</v>
      </c>
      <c r="N63" s="2">
        <f>L63+SUM($M$57:M63)</f>
        <v>4703.8539080966202</v>
      </c>
      <c r="O63" s="2">
        <f t="shared" si="11"/>
        <v>1302.126372323904</v>
      </c>
    </row>
    <row r="64" spans="1:15" x14ac:dyDescent="0.25">
      <c r="B64" s="10">
        <v>2025</v>
      </c>
      <c r="C64" s="11">
        <v>5195.5160642926385</v>
      </c>
      <c r="D64" s="11">
        <v>1453842.0175012546</v>
      </c>
      <c r="E64" s="17">
        <f t="shared" si="5"/>
        <v>920607.73178697284</v>
      </c>
      <c r="F64" s="17">
        <f t="shared" si="9"/>
        <v>72757.236363636126</v>
      </c>
      <c r="G64" s="21">
        <v>14.6</v>
      </c>
      <c r="H64" s="21">
        <v>21.809887199999999</v>
      </c>
      <c r="I64" s="17">
        <f t="shared" si="6"/>
        <v>169.79604694378511</v>
      </c>
      <c r="J64" s="20">
        <f t="shared" si="10"/>
        <v>1302.1263723239044</v>
      </c>
      <c r="K64" s="22">
        <v>5.089847850104328E-2</v>
      </c>
      <c r="L64" s="2">
        <f t="shared" si="7"/>
        <v>3209.4200578255795</v>
      </c>
      <c r="M64" s="2">
        <f t="shared" si="8"/>
        <v>169.79604694378511</v>
      </c>
      <c r="N64" s="2">
        <f>L64+SUM($M$57:M64)</f>
        <v>4681.3424770932688</v>
      </c>
      <c r="O64" s="2">
        <f t="shared" si="11"/>
        <v>1471.9224192676893</v>
      </c>
    </row>
    <row r="65" spans="2:15" x14ac:dyDescent="0.25">
      <c r="B65" s="10">
        <v>2026</v>
      </c>
      <c r="C65" s="11">
        <v>5299.0832939312513</v>
      </c>
      <c r="D65" s="11">
        <v>1495296.6218874408</v>
      </c>
      <c r="E65" s="17">
        <f t="shared" si="5"/>
        <v>876106.90760173183</v>
      </c>
      <c r="F65" s="17">
        <f t="shared" si="9"/>
        <v>75015.646753245586</v>
      </c>
      <c r="G65" s="21">
        <v>14.6</v>
      </c>
      <c r="H65" s="21">
        <v>21.809887199999999</v>
      </c>
      <c r="I65" s="17">
        <f t="shared" si="6"/>
        <v>172.92900830320642</v>
      </c>
      <c r="J65" s="20">
        <f t="shared" si="10"/>
        <v>1471.9224192676895</v>
      </c>
      <c r="K65" s="22">
        <v>5.0277006570467471E-2</v>
      </c>
      <c r="L65" s="2">
        <f t="shared" si="7"/>
        <v>3016.9885445153573</v>
      </c>
      <c r="M65" s="2">
        <f t="shared" si="8"/>
        <v>172.92900830320642</v>
      </c>
      <c r="N65" s="2">
        <f>L65+SUM($M$57:M65)</f>
        <v>4661.8399720862535</v>
      </c>
      <c r="O65" s="2">
        <f t="shared" si="11"/>
        <v>1644.8514275708962</v>
      </c>
    </row>
    <row r="66" spans="2:15" x14ac:dyDescent="0.25">
      <c r="B66" s="10">
        <v>2027</v>
      </c>
      <c r="C66" s="11">
        <v>5413.8700580907316</v>
      </c>
      <c r="D66" s="11">
        <v>1536770.45903657</v>
      </c>
      <c r="E66" s="17">
        <f t="shared" si="5"/>
        <v>827336.17332229018</v>
      </c>
      <c r="F66" s="17">
        <f t="shared" si="9"/>
        <v>77118.088311687854</v>
      </c>
      <c r="G66" s="21">
        <v>14.6</v>
      </c>
      <c r="H66" s="21">
        <v>21.809887199999999</v>
      </c>
      <c r="I66" s="17">
        <f t="shared" si="6"/>
        <v>176.19841442464391</v>
      </c>
      <c r="J66" s="20">
        <f t="shared" si="10"/>
        <v>1644.851427570896</v>
      </c>
      <c r="K66" s="22">
        <v>4.9830949230596E-2</v>
      </c>
      <c r="L66" s="2">
        <f>E66*K66/G66</f>
        <v>2823.7634828396313</v>
      </c>
      <c r="M66" s="2">
        <f>F66*K66/H66</f>
        <v>176.19841442464391</v>
      </c>
      <c r="N66" s="2">
        <f>L66+SUM($M$57:M66)</f>
        <v>4644.8133248351714</v>
      </c>
      <c r="O66" s="2">
        <f t="shared" si="11"/>
        <v>1821.0498419955402</v>
      </c>
    </row>
    <row r="67" spans="2:15" x14ac:dyDescent="0.25">
      <c r="B67" s="10">
        <v>2028</v>
      </c>
      <c r="C67" s="11">
        <v>5539.9656368863471</v>
      </c>
      <c r="D67" s="11">
        <v>1578233.9588539612</v>
      </c>
      <c r="E67" s="17">
        <f t="shared" si="5"/>
        <v>774265.95885396679</v>
      </c>
      <c r="F67" s="17">
        <f t="shared" si="9"/>
        <v>79064.561038961256</v>
      </c>
      <c r="G67" s="21">
        <v>14.6</v>
      </c>
      <c r="H67" s="21">
        <v>21.809887199999999</v>
      </c>
      <c r="I67" s="17">
        <f t="shared" si="6"/>
        <v>179.70614103609924</v>
      </c>
      <c r="J67" s="20">
        <f t="shared" si="10"/>
        <v>1821.04984199554</v>
      </c>
      <c r="K67" s="22">
        <v>4.9571775440746917E-2</v>
      </c>
      <c r="L67" s="2">
        <f t="shared" ref="L67:L69" si="12">E67*K67/G67</f>
        <v>2628.8861810769477</v>
      </c>
      <c r="M67" s="2">
        <f t="shared" ref="M67:M69" si="13">F67*K67/H67</f>
        <v>179.70614103609924</v>
      </c>
      <c r="N67" s="2">
        <f>L67+SUM($M$57:M67)</f>
        <v>4629.6421641085872</v>
      </c>
      <c r="O67" s="2">
        <f t="shared" si="11"/>
        <v>2000.7559830316395</v>
      </c>
    </row>
    <row r="68" spans="2:15" x14ac:dyDescent="0.25">
      <c r="B68" s="10">
        <v>2029</v>
      </c>
      <c r="C68" s="11">
        <v>5677.2013900999818</v>
      </c>
      <c r="D68" s="11">
        <v>1619667.6062884759</v>
      </c>
      <c r="E68" s="17">
        <f t="shared" si="5"/>
        <v>716876.74914562516</v>
      </c>
      <c r="F68" s="17">
        <f t="shared" si="9"/>
        <v>80855.064935064278</v>
      </c>
      <c r="G68" s="21">
        <v>14.6</v>
      </c>
      <c r="H68" s="21">
        <v>21.809887199999999</v>
      </c>
      <c r="I68" s="17">
        <f t="shared" si="6"/>
        <v>183.54718757975343</v>
      </c>
      <c r="J68" s="20">
        <f t="shared" si="10"/>
        <v>2000.7559830316393</v>
      </c>
      <c r="K68" s="22">
        <v>4.9510113685600751E-2</v>
      </c>
      <c r="L68" s="2">
        <f t="shared" si="12"/>
        <v>2431.0033800523147</v>
      </c>
      <c r="M68" s="2">
        <f t="shared" si="13"/>
        <v>183.54718757975343</v>
      </c>
      <c r="N68" s="2">
        <f>L68+SUM($M$57:M68)</f>
        <v>4615.3065506637067</v>
      </c>
      <c r="O68" s="2">
        <f t="shared" si="11"/>
        <v>2184.303170611392</v>
      </c>
    </row>
    <row r="69" spans="2:15" x14ac:dyDescent="0.25">
      <c r="B69" s="10">
        <v>2030</v>
      </c>
      <c r="C69" s="11">
        <v>5826.0534783480334</v>
      </c>
      <c r="D69" s="11">
        <v>1661026.0804002865</v>
      </c>
      <c r="E69" s="17">
        <f t="shared" si="5"/>
        <v>655123.22325743572</v>
      </c>
      <c r="F69" s="17">
        <f t="shared" si="9"/>
        <v>82489.600000000006</v>
      </c>
      <c r="G69" s="21">
        <v>14.6</v>
      </c>
      <c r="H69" s="21">
        <v>21.809887199999999</v>
      </c>
      <c r="I69" s="17">
        <f t="shared" si="6"/>
        <v>187.88411122913794</v>
      </c>
      <c r="J69" s="20">
        <f t="shared" si="10"/>
        <v>2184.3031706113925</v>
      </c>
      <c r="K69" s="22">
        <v>4.9675732123561661E-2</v>
      </c>
      <c r="L69" s="2">
        <f t="shared" si="12"/>
        <v>2229.0223114014152</v>
      </c>
      <c r="M69" s="2">
        <f t="shared" si="13"/>
        <v>187.88411122913794</v>
      </c>
      <c r="N69" s="2">
        <f>L69+SUM($M$57:M69)</f>
        <v>4601.2095932419452</v>
      </c>
      <c r="O69" s="2">
        <f t="shared" si="11"/>
        <v>2372.18728184053</v>
      </c>
    </row>
    <row r="70" spans="2:15" x14ac:dyDescent="0.25">
      <c r="B70" t="s">
        <v>23</v>
      </c>
      <c r="C70" t="s">
        <v>24</v>
      </c>
      <c r="D70" t="s">
        <v>25</v>
      </c>
      <c r="E70" t="s">
        <v>27</v>
      </c>
    </row>
    <row r="72" spans="2:15" ht="18" x14ac:dyDescent="0.35">
      <c r="E72" s="1"/>
      <c r="F72" s="3" t="s">
        <v>70</v>
      </c>
    </row>
    <row r="73" spans="2:15" ht="38.25" x14ac:dyDescent="0.25">
      <c r="B73" s="24" t="s">
        <v>0</v>
      </c>
      <c r="C73" s="24" t="s">
        <v>1</v>
      </c>
      <c r="D73" s="25" t="s">
        <v>5</v>
      </c>
      <c r="E73" s="25" t="s">
        <v>6</v>
      </c>
      <c r="F73" s="23" t="s">
        <v>71</v>
      </c>
      <c r="G73" s="25" t="s">
        <v>72</v>
      </c>
      <c r="H73" s="25" t="s">
        <v>73</v>
      </c>
      <c r="I73" s="25" t="s">
        <v>74</v>
      </c>
    </row>
    <row r="74" spans="2:15" x14ac:dyDescent="0.25">
      <c r="B74" s="26">
        <v>2013</v>
      </c>
      <c r="C74" s="27">
        <v>1073183.6651212492</v>
      </c>
      <c r="D74" s="28"/>
      <c r="E74" s="28">
        <f>F29</f>
        <v>1073183.6651212492</v>
      </c>
      <c r="F74" s="27">
        <v>4488.9048500498293</v>
      </c>
      <c r="G74" s="28">
        <f>H6</f>
        <v>0</v>
      </c>
      <c r="H74" s="28">
        <f>G29</f>
        <v>4488.9048500498293</v>
      </c>
      <c r="I74" s="28">
        <f>G74+H74</f>
        <v>4488.9048500498293</v>
      </c>
    </row>
    <row r="75" spans="2:15" x14ac:dyDescent="0.25">
      <c r="B75" s="26">
        <v>2014</v>
      </c>
      <c r="C75" s="27">
        <v>976651.16433813574</v>
      </c>
      <c r="D75" s="28"/>
      <c r="E75" s="28">
        <f t="shared" ref="E75:E91" si="14">F30</f>
        <v>976651.16433813574</v>
      </c>
      <c r="F75" s="27">
        <v>4409.1759291458902</v>
      </c>
      <c r="G75" s="28">
        <f t="shared" ref="G75:G91" si="15">H7</f>
        <v>0</v>
      </c>
      <c r="H75" s="28">
        <f t="shared" ref="H75:H91" si="16">G30</f>
        <v>4409.1759291458893</v>
      </c>
      <c r="I75" s="28">
        <f t="shared" ref="I75:I91" si="17">G75+H75</f>
        <v>4409.1759291458893</v>
      </c>
    </row>
    <row r="76" spans="2:15" x14ac:dyDescent="0.25">
      <c r="B76" s="26">
        <v>2015</v>
      </c>
      <c r="C76" s="27">
        <v>1019571.4085290028</v>
      </c>
      <c r="D76" s="28"/>
      <c r="E76" s="28">
        <f t="shared" si="14"/>
        <v>1019571.4085290028</v>
      </c>
      <c r="F76" s="27">
        <v>4697.8044143992256</v>
      </c>
      <c r="G76" s="28">
        <f t="shared" si="15"/>
        <v>0</v>
      </c>
      <c r="H76" s="28">
        <f t="shared" si="16"/>
        <v>4697.8044143992256</v>
      </c>
      <c r="I76" s="28">
        <f t="shared" si="17"/>
        <v>4697.8044143992256</v>
      </c>
    </row>
    <row r="77" spans="2:15" x14ac:dyDescent="0.25">
      <c r="B77" s="26">
        <v>2016</v>
      </c>
      <c r="C77" s="27">
        <v>1117970.6924468274</v>
      </c>
      <c r="D77" s="28"/>
      <c r="E77" s="28">
        <f t="shared" si="14"/>
        <v>1117970.6924468274</v>
      </c>
      <c r="F77" s="27">
        <v>4861.015568828896</v>
      </c>
      <c r="G77" s="28">
        <f t="shared" si="15"/>
        <v>0</v>
      </c>
      <c r="H77" s="28">
        <f t="shared" si="16"/>
        <v>4861.0155688288969</v>
      </c>
      <c r="I77" s="28">
        <f t="shared" si="17"/>
        <v>4861.0155688288969</v>
      </c>
    </row>
    <row r="78" spans="2:15" x14ac:dyDescent="0.25">
      <c r="B78" s="26">
        <v>2017</v>
      </c>
      <c r="C78" s="27">
        <v>1053030.9082251894</v>
      </c>
      <c r="D78" s="28"/>
      <c r="E78" s="28">
        <f t="shared" si="14"/>
        <v>1053030.9082251894</v>
      </c>
      <c r="F78" s="27">
        <v>4774.6817019902828</v>
      </c>
      <c r="G78" s="28">
        <f t="shared" si="15"/>
        <v>0</v>
      </c>
      <c r="H78" s="28">
        <f t="shared" si="16"/>
        <v>4774.6817019902837</v>
      </c>
      <c r="I78" s="28">
        <f t="shared" si="17"/>
        <v>4774.6817019902837</v>
      </c>
    </row>
    <row r="79" spans="2:15" x14ac:dyDescent="0.25">
      <c r="B79" s="26">
        <v>2018</v>
      </c>
      <c r="C79" s="27">
        <v>1166385.7116395417</v>
      </c>
      <c r="D79" s="28">
        <f>F11</f>
        <v>51443.285714285448</v>
      </c>
      <c r="E79" s="28">
        <f t="shared" si="14"/>
        <v>1114743.4259252562</v>
      </c>
      <c r="F79" s="27">
        <v>4784.7519434793039</v>
      </c>
      <c r="G79" s="28">
        <f t="shared" si="15"/>
        <v>211.03084412307703</v>
      </c>
      <c r="H79" s="28">
        <f t="shared" si="16"/>
        <v>4572.9047607923612</v>
      </c>
      <c r="I79" s="28">
        <f t="shared" si="17"/>
        <v>4783.9356049154385</v>
      </c>
    </row>
    <row r="80" spans="2:15" x14ac:dyDescent="0.25">
      <c r="B80" s="26">
        <v>2019</v>
      </c>
      <c r="C80" s="27">
        <v>1206991.5861911501</v>
      </c>
      <c r="D80" s="28">
        <f t="shared" ref="D80:D91" si="18">F12</f>
        <v>107094.71428571269</v>
      </c>
      <c r="E80" s="28">
        <f t="shared" si="14"/>
        <v>1099417.8719054374</v>
      </c>
      <c r="F80" s="27">
        <v>4809.2963508437269</v>
      </c>
      <c r="G80" s="28">
        <f t="shared" si="15"/>
        <v>432.48301783958181</v>
      </c>
      <c r="H80" s="28">
        <f t="shared" si="16"/>
        <v>4374.8827982689982</v>
      </c>
      <c r="I80" s="28">
        <f t="shared" si="17"/>
        <v>4807.3658161085796</v>
      </c>
    </row>
    <row r="81" spans="2:11" x14ac:dyDescent="0.25">
      <c r="B81" s="26">
        <v>2020</v>
      </c>
      <c r="C81" s="27">
        <v>1247784.1313553418</v>
      </c>
      <c r="D81" s="28">
        <f t="shared" si="18"/>
        <v>166220.3662337641</v>
      </c>
      <c r="E81" s="28">
        <f t="shared" si="14"/>
        <v>1079989.8456410584</v>
      </c>
      <c r="F81" s="27">
        <v>4845.536453345142</v>
      </c>
      <c r="G81" s="28">
        <f t="shared" si="15"/>
        <v>661.22195358910813</v>
      </c>
      <c r="H81" s="28">
        <f t="shared" si="16"/>
        <v>4178.1480588033046</v>
      </c>
      <c r="I81" s="28">
        <f t="shared" si="17"/>
        <v>4839.3700123924127</v>
      </c>
    </row>
    <row r="82" spans="2:11" x14ac:dyDescent="0.25">
      <c r="B82" s="26">
        <v>2021</v>
      </c>
      <c r="C82" s="27">
        <v>1288748.2711188961</v>
      </c>
      <c r="D82" s="28">
        <f t="shared" si="18"/>
        <v>228384.27272727084</v>
      </c>
      <c r="E82" s="28">
        <f t="shared" si="14"/>
        <v>1056444.2711188979</v>
      </c>
      <c r="F82" s="27">
        <v>4893.1151305214926</v>
      </c>
      <c r="G82" s="28">
        <f t="shared" si="15"/>
        <v>895.5649195831428</v>
      </c>
      <c r="H82" s="28">
        <f t="shared" si="16"/>
        <v>3982.5406391933921</v>
      </c>
      <c r="I82" s="28">
        <f t="shared" si="17"/>
        <v>4878.105558776535</v>
      </c>
    </row>
    <row r="83" spans="2:11" x14ac:dyDescent="0.25">
      <c r="B83" s="26">
        <v>2022</v>
      </c>
      <c r="C83" s="27">
        <v>1329857.3224403893</v>
      </c>
      <c r="D83" s="28">
        <f t="shared" si="18"/>
        <v>293430.46493506228</v>
      </c>
      <c r="E83" s="28">
        <f t="shared" si="14"/>
        <v>1028754.4652975349</v>
      </c>
      <c r="F83" s="27">
        <v>4952.0423023853336</v>
      </c>
      <c r="G83" s="28">
        <f t="shared" si="15"/>
        <v>1135.0813846739843</v>
      </c>
      <c r="H83" s="28">
        <f t="shared" si="16"/>
        <v>3788.1330883649975</v>
      </c>
      <c r="I83" s="28">
        <f t="shared" si="17"/>
        <v>4923.2144730389819</v>
      </c>
    </row>
    <row r="84" spans="2:11" x14ac:dyDescent="0.25">
      <c r="B84" s="26">
        <v>2023</v>
      </c>
      <c r="C84" s="27">
        <v>1371090.8945916586</v>
      </c>
      <c r="D84" s="28">
        <f t="shared" si="18"/>
        <v>361202.97402597137</v>
      </c>
      <c r="E84" s="28">
        <f t="shared" si="14"/>
        <v>996900.03744880413</v>
      </c>
      <c r="F84" s="27">
        <v>5022.1493287186813</v>
      </c>
      <c r="G84" s="28">
        <f t="shared" si="15"/>
        <v>1379.4603908839624</v>
      </c>
      <c r="H84" s="28">
        <f t="shared" si="16"/>
        <v>3594.6941276091529</v>
      </c>
      <c r="I84" s="28">
        <f t="shared" si="17"/>
        <v>4974.1545184931156</v>
      </c>
    </row>
    <row r="85" spans="2:11" x14ac:dyDescent="0.25">
      <c r="B85" s="26">
        <v>2024</v>
      </c>
      <c r="C85" s="27">
        <v>1412434.5035978679</v>
      </c>
      <c r="D85" s="28">
        <f t="shared" si="18"/>
        <v>431545.83116882754</v>
      </c>
      <c r="E85" s="28">
        <f t="shared" si="14"/>
        <v>960866.50359787163</v>
      </c>
      <c r="F85" s="27">
        <v>5103.1187691104178</v>
      </c>
      <c r="G85" s="28">
        <f t="shared" si="15"/>
        <v>1628.4931474550287</v>
      </c>
      <c r="H85" s="28">
        <f t="shared" si="16"/>
        <v>3401.7275357727162</v>
      </c>
      <c r="I85" s="28">
        <f t="shared" si="17"/>
        <v>5030.2206832277452</v>
      </c>
    </row>
    <row r="86" spans="2:11" x14ac:dyDescent="0.25">
      <c r="B86" s="26">
        <v>2025</v>
      </c>
      <c r="C86" s="27">
        <v>1453842.0175012546</v>
      </c>
      <c r="D86" s="28">
        <f t="shared" si="18"/>
        <v>504303.0675324637</v>
      </c>
      <c r="E86" s="28">
        <f t="shared" si="14"/>
        <v>920607.73178697284</v>
      </c>
      <c r="F86" s="27">
        <v>5195.5160642926385</v>
      </c>
      <c r="G86" s="28">
        <f t="shared" si="15"/>
        <v>1882.1392180611833</v>
      </c>
      <c r="H86" s="28">
        <f t="shared" si="16"/>
        <v>3209.4200578255795</v>
      </c>
      <c r="I86" s="28">
        <f t="shared" si="17"/>
        <v>5091.5592758867624</v>
      </c>
    </row>
    <row r="87" spans="2:11" x14ac:dyDescent="0.25">
      <c r="B87" s="26">
        <v>2026</v>
      </c>
      <c r="C87" s="27">
        <v>1495296.6218874408</v>
      </c>
      <c r="D87" s="28">
        <f t="shared" si="18"/>
        <v>579318.71428570931</v>
      </c>
      <c r="E87" s="28">
        <f t="shared" si="14"/>
        <v>876106.90760173183</v>
      </c>
      <c r="F87" s="27">
        <v>5299.0832939312513</v>
      </c>
      <c r="G87" s="28">
        <f t="shared" si="15"/>
        <v>2140.4653937256212</v>
      </c>
      <c r="H87" s="28">
        <f t="shared" si="16"/>
        <v>3016.9885445153573</v>
      </c>
      <c r="I87" s="28">
        <f t="shared" si="17"/>
        <v>5157.4539382409785</v>
      </c>
    </row>
    <row r="88" spans="2:11" x14ac:dyDescent="0.25">
      <c r="B88" s="26">
        <v>2027</v>
      </c>
      <c r="C88" s="27">
        <v>1536770.45903657</v>
      </c>
      <c r="D88" s="28">
        <f t="shared" si="18"/>
        <v>656436.80259739712</v>
      </c>
      <c r="E88" s="28">
        <f t="shared" si="14"/>
        <v>827336.17332229018</v>
      </c>
      <c r="F88" s="27">
        <v>5413.8700580907316</v>
      </c>
      <c r="G88" s="28">
        <f t="shared" si="15"/>
        <v>2403.6754994393427</v>
      </c>
      <c r="H88" s="28">
        <f t="shared" si="16"/>
        <v>2823.7634828396313</v>
      </c>
      <c r="I88" s="28">
        <f t="shared" si="17"/>
        <v>5227.4389822789744</v>
      </c>
    </row>
    <row r="89" spans="2:11" x14ac:dyDescent="0.25">
      <c r="B89" s="26">
        <v>2028</v>
      </c>
      <c r="C89" s="27">
        <v>1578233.9588539612</v>
      </c>
      <c r="D89" s="28">
        <f t="shared" si="18"/>
        <v>735501.36363635841</v>
      </c>
      <c r="E89" s="28">
        <f t="shared" si="14"/>
        <v>774265.95885396679</v>
      </c>
      <c r="F89" s="27">
        <v>5539.9656368863471</v>
      </c>
      <c r="G89" s="28">
        <f t="shared" si="15"/>
        <v>2672.1255449971932</v>
      </c>
      <c r="H89" s="28">
        <f t="shared" si="16"/>
        <v>2628.8861810769477</v>
      </c>
      <c r="I89" s="28">
        <f t="shared" si="17"/>
        <v>5301.0117260741408</v>
      </c>
    </row>
    <row r="90" spans="2:11" x14ac:dyDescent="0.25">
      <c r="B90" s="26">
        <v>2029</v>
      </c>
      <c r="C90" s="27">
        <v>1619667.6062884759</v>
      </c>
      <c r="D90" s="28">
        <f t="shared" si="18"/>
        <v>816356.4285714227</v>
      </c>
      <c r="E90" s="28">
        <f t="shared" si="14"/>
        <v>716876.74914562516</v>
      </c>
      <c r="F90" s="27">
        <v>5677.2013900999818</v>
      </c>
      <c r="G90" s="28">
        <f t="shared" si="15"/>
        <v>2946.3134530103207</v>
      </c>
      <c r="H90" s="28">
        <f t="shared" si="16"/>
        <v>2431.0033800523147</v>
      </c>
      <c r="I90" s="28">
        <f t="shared" si="17"/>
        <v>5377.3168330626359</v>
      </c>
    </row>
    <row r="91" spans="2:11" x14ac:dyDescent="0.25">
      <c r="B91" s="26">
        <v>2030</v>
      </c>
      <c r="C91" s="27">
        <v>1661026.0804002865</v>
      </c>
      <c r="D91" s="28">
        <f t="shared" si="18"/>
        <v>898846.02857142268</v>
      </c>
      <c r="E91" s="28">
        <f t="shared" si="14"/>
        <v>655123.22325743572</v>
      </c>
      <c r="F91" s="27">
        <v>5826.0534783480334</v>
      </c>
      <c r="G91" s="28">
        <f t="shared" si="15"/>
        <v>3226.9799785294817</v>
      </c>
      <c r="H91" s="28">
        <f t="shared" si="16"/>
        <v>2229.0223114014152</v>
      </c>
      <c r="I91" s="28">
        <f t="shared" si="17"/>
        <v>5456.0022899308969</v>
      </c>
      <c r="K91" s="2">
        <f>F91-I91</f>
        <v>370.05118841713647</v>
      </c>
    </row>
    <row r="92" spans="2:11" x14ac:dyDescent="0.25">
      <c r="B92" t="s">
        <v>23</v>
      </c>
      <c r="C92" t="s">
        <v>24</v>
      </c>
      <c r="D92" t="s">
        <v>25</v>
      </c>
      <c r="E92" t="s">
        <v>27</v>
      </c>
    </row>
  </sheetData>
  <mergeCells count="3">
    <mergeCell ref="E4:H4"/>
    <mergeCell ref="E27:H27"/>
    <mergeCell ref="B50:K50"/>
  </mergeCells>
  <pageMargins left="0.7" right="0.7" top="0.75" bottom="0.75" header="0.3" footer="0.3"/>
  <ignoredErrors>
    <ignoredError sqref="F33:F45" formulaRange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89AE-AE19-4C2F-B99E-68A7E63F0C61}">
  <dimension ref="A2:T230"/>
  <sheetViews>
    <sheetView tabSelected="1" topLeftCell="I88" zoomScale="80" zoomScaleNormal="80" workbookViewId="0">
      <selection activeCell="M110" sqref="M110"/>
    </sheetView>
  </sheetViews>
  <sheetFormatPr baseColWidth="10" defaultRowHeight="15" x14ac:dyDescent="0.25"/>
  <cols>
    <col min="2" max="4" width="18.140625" customWidth="1"/>
    <col min="5" max="5" width="20.5703125" customWidth="1"/>
    <col min="6" max="6" width="23.5703125" customWidth="1"/>
    <col min="7" max="7" width="23.7109375" customWidth="1"/>
    <col min="8" max="8" width="23.28515625" customWidth="1"/>
    <col min="9" max="9" width="28" customWidth="1"/>
    <col min="10" max="10" width="23.7109375" customWidth="1"/>
    <col min="11" max="12" width="18.140625" customWidth="1"/>
    <col min="13" max="13" width="17" customWidth="1"/>
    <col min="14" max="18" width="18.140625" customWidth="1"/>
  </cols>
  <sheetData>
    <row r="2" spans="1:13" x14ac:dyDescent="0.25">
      <c r="D2">
        <v>1</v>
      </c>
    </row>
    <row r="3" spans="1:13" x14ac:dyDescent="0.25">
      <c r="I3" s="5"/>
      <c r="J3" s="13"/>
      <c r="K3" s="13"/>
      <c r="L3" s="13"/>
      <c r="M3" s="14"/>
    </row>
    <row r="4" spans="1:13" x14ac:dyDescent="0.25">
      <c r="B4" s="32"/>
      <c r="C4" s="33"/>
      <c r="D4" s="33"/>
      <c r="E4" s="68" t="s">
        <v>10</v>
      </c>
      <c r="F4" s="68"/>
      <c r="G4" s="68"/>
      <c r="H4" s="68"/>
      <c r="I4" s="34"/>
      <c r="J4" s="66">
        <v>0.2</v>
      </c>
      <c r="K4" s="13"/>
      <c r="L4" s="13"/>
      <c r="M4" s="14"/>
    </row>
    <row r="5" spans="1:13" ht="45" x14ac:dyDescent="0.25">
      <c r="B5" s="9" t="s">
        <v>0</v>
      </c>
      <c r="C5" s="9" t="s">
        <v>22</v>
      </c>
      <c r="D5" s="9" t="s">
        <v>44</v>
      </c>
      <c r="E5" s="9" t="s">
        <v>33</v>
      </c>
      <c r="F5" s="16" t="s">
        <v>36</v>
      </c>
      <c r="G5" s="16" t="s">
        <v>8</v>
      </c>
      <c r="H5" s="16" t="s">
        <v>9</v>
      </c>
      <c r="I5" s="9" t="s">
        <v>4</v>
      </c>
      <c r="J5" s="50" t="s">
        <v>53</v>
      </c>
      <c r="K5" s="7"/>
      <c r="L5" s="9" t="s">
        <v>33</v>
      </c>
      <c r="M5" s="14"/>
    </row>
    <row r="6" spans="1:13" x14ac:dyDescent="0.25">
      <c r="B6" s="10">
        <v>2013</v>
      </c>
      <c r="C6" s="11">
        <v>1073183.6651212492</v>
      </c>
      <c r="D6" s="11">
        <f t="shared" ref="D6:D23" si="0">D49*$D$2-E6</f>
        <v>28898</v>
      </c>
      <c r="E6" s="11"/>
      <c r="F6" s="17"/>
      <c r="G6" s="18"/>
      <c r="H6" s="18"/>
      <c r="I6" s="10"/>
      <c r="J6" s="38"/>
      <c r="K6" s="6"/>
      <c r="L6" s="6"/>
      <c r="M6" s="14"/>
    </row>
    <row r="7" spans="1:13" x14ac:dyDescent="0.25">
      <c r="B7" s="10">
        <v>2014</v>
      </c>
      <c r="C7" s="11">
        <v>976651.16433813574</v>
      </c>
      <c r="D7" s="11">
        <f t="shared" si="0"/>
        <v>28300</v>
      </c>
      <c r="E7" s="11"/>
      <c r="F7" s="17"/>
      <c r="G7" s="18"/>
      <c r="H7" s="18"/>
      <c r="I7" s="10"/>
      <c r="J7" s="38"/>
      <c r="K7" s="6"/>
      <c r="L7" s="6"/>
      <c r="M7" s="8"/>
    </row>
    <row r="8" spans="1:13" x14ac:dyDescent="0.25">
      <c r="B8" s="10">
        <v>2015</v>
      </c>
      <c r="C8" s="11">
        <v>1019571.4085290028</v>
      </c>
      <c r="D8" s="11">
        <f t="shared" si="0"/>
        <v>37202</v>
      </c>
      <c r="E8" s="11"/>
      <c r="F8" s="17"/>
      <c r="G8" s="18"/>
      <c r="H8" s="18"/>
      <c r="I8" s="10"/>
      <c r="J8" s="38"/>
      <c r="K8" s="6"/>
      <c r="L8" s="6"/>
      <c r="M8" s="8"/>
    </row>
    <row r="9" spans="1:13" x14ac:dyDescent="0.25">
      <c r="B9" s="10">
        <v>2016</v>
      </c>
      <c r="C9" s="11">
        <v>1117970.6924468274</v>
      </c>
      <c r="D9" s="11">
        <f t="shared" si="0"/>
        <v>48314</v>
      </c>
      <c r="E9" s="11"/>
      <c r="F9" s="17"/>
      <c r="G9" s="18"/>
      <c r="H9" s="18"/>
      <c r="I9" s="10"/>
      <c r="J9" s="38"/>
      <c r="K9" s="6"/>
      <c r="L9" s="6"/>
      <c r="M9" s="14"/>
    </row>
    <row r="10" spans="1:13" x14ac:dyDescent="0.25">
      <c r="B10" s="10">
        <v>2017</v>
      </c>
      <c r="C10" s="11">
        <v>1053030.9082251894</v>
      </c>
      <c r="D10" s="11">
        <f t="shared" si="0"/>
        <v>47353.142857141793</v>
      </c>
      <c r="E10" s="11"/>
      <c r="F10" s="17"/>
      <c r="G10" s="18"/>
      <c r="H10" s="18"/>
      <c r="I10" s="10"/>
      <c r="J10" s="38"/>
      <c r="K10" s="6"/>
      <c r="L10" s="6"/>
      <c r="M10" s="14"/>
    </row>
    <row r="11" spans="1:13" x14ac:dyDescent="0.25">
      <c r="A11" s="3" t="s">
        <v>3</v>
      </c>
      <c r="B11" s="10">
        <v>2018</v>
      </c>
      <c r="C11" s="11">
        <v>1166385.7116395417</v>
      </c>
      <c r="D11" s="11">
        <f t="shared" si="0"/>
        <v>51443.285714285448</v>
      </c>
      <c r="E11" s="11">
        <v>199</v>
      </c>
      <c r="F11" s="17">
        <f>D11+F10</f>
        <v>51443.285714285448</v>
      </c>
      <c r="G11" s="17">
        <f t="shared" ref="G11:G23" si="1">D11*K97/I11</f>
        <v>211.03084412307703</v>
      </c>
      <c r="H11" s="17">
        <f>H10+G11</f>
        <v>211.03084412307703</v>
      </c>
      <c r="I11" s="12">
        <v>14.6</v>
      </c>
      <c r="J11" s="38"/>
      <c r="K11" s="6"/>
      <c r="L11" s="6"/>
      <c r="M11" s="14"/>
    </row>
    <row r="12" spans="1:13" x14ac:dyDescent="0.25">
      <c r="B12" s="10">
        <v>2019</v>
      </c>
      <c r="C12" s="11">
        <v>1206991.5861911501</v>
      </c>
      <c r="D12" s="11">
        <f t="shared" si="0"/>
        <v>55651.428571427241</v>
      </c>
      <c r="E12" s="11">
        <v>280</v>
      </c>
      <c r="F12" s="17">
        <f>D12+F11</f>
        <v>107094.71428571269</v>
      </c>
      <c r="G12" s="17">
        <f t="shared" si="1"/>
        <v>221.45217371650477</v>
      </c>
      <c r="H12" s="17">
        <f t="shared" ref="H12:H23" si="2">H11+G12</f>
        <v>432.48301783958181</v>
      </c>
      <c r="I12" s="12">
        <v>14.6</v>
      </c>
      <c r="J12" s="48">
        <f>100*$J$4/(2030-2019)*(B12-2019)/100</f>
        <v>0</v>
      </c>
      <c r="K12" s="6"/>
      <c r="L12" s="6"/>
      <c r="M12" s="14"/>
    </row>
    <row r="13" spans="1:13" x14ac:dyDescent="0.25">
      <c r="B13" s="10">
        <v>2020</v>
      </c>
      <c r="C13" s="11">
        <v>1247784.1313553418</v>
      </c>
      <c r="D13" s="11">
        <f t="shared" si="0"/>
        <v>59125.651948051425</v>
      </c>
      <c r="E13" s="59">
        <f>J13*D56</f>
        <v>1094.9194805194709</v>
      </c>
      <c r="F13" s="17">
        <f>D13+F12</f>
        <v>166220.3662337641</v>
      </c>
      <c r="G13" s="17">
        <f t="shared" si="1"/>
        <v>228.73893574952632</v>
      </c>
      <c r="H13" s="17">
        <f t="shared" si="2"/>
        <v>661.22195358910813</v>
      </c>
      <c r="I13" s="12">
        <v>14.6</v>
      </c>
      <c r="J13" s="48">
        <f t="shared" ref="J13:J43" si="3">100*$J$4/(2030-2019)*(B13-2019)/100</f>
        <v>1.8181818181818181E-2</v>
      </c>
      <c r="K13" s="6"/>
      <c r="L13" s="6"/>
      <c r="M13" s="14"/>
    </row>
    <row r="14" spans="1:13" x14ac:dyDescent="0.25">
      <c r="B14" s="10">
        <v>2021</v>
      </c>
      <c r="C14" s="11">
        <v>1288748.2711188961</v>
      </c>
      <c r="D14" s="11">
        <f t="shared" si="0"/>
        <v>62163.906493506751</v>
      </c>
      <c r="E14" s="59">
        <f t="shared" ref="E14:E43" si="4">J14*D57</f>
        <v>2345.8077922078019</v>
      </c>
      <c r="F14" s="17">
        <f>D14+F13</f>
        <v>228384.27272727084</v>
      </c>
      <c r="G14" s="17">
        <f t="shared" si="1"/>
        <v>234.34296599403464</v>
      </c>
      <c r="H14" s="17">
        <f t="shared" si="2"/>
        <v>895.5649195831428</v>
      </c>
      <c r="I14" s="12">
        <v>14.6</v>
      </c>
      <c r="J14" s="48">
        <f t="shared" si="3"/>
        <v>3.6363636363636362E-2</v>
      </c>
      <c r="K14" s="6"/>
      <c r="L14" s="6"/>
      <c r="M14" s="14"/>
    </row>
    <row r="15" spans="1:13" x14ac:dyDescent="0.25">
      <c r="B15" s="10">
        <v>2022</v>
      </c>
      <c r="C15" s="11">
        <v>1329857.3224403893</v>
      </c>
      <c r="D15" s="11">
        <f t="shared" si="0"/>
        <v>65046.19220779145</v>
      </c>
      <c r="E15" s="59">
        <f t="shared" si="4"/>
        <v>3752.6649350648913</v>
      </c>
      <c r="F15" s="17">
        <f>D15+F14</f>
        <v>293430.46493506228</v>
      </c>
      <c r="G15" s="17">
        <f t="shared" si="1"/>
        <v>239.51646509084142</v>
      </c>
      <c r="H15" s="17">
        <f t="shared" si="2"/>
        <v>1135.0813846739843</v>
      </c>
      <c r="I15" s="12">
        <v>14.6</v>
      </c>
      <c r="J15" s="48">
        <f t="shared" si="3"/>
        <v>5.4545454545454543E-2</v>
      </c>
      <c r="K15" s="6"/>
      <c r="L15" s="6"/>
      <c r="M15" s="14"/>
    </row>
    <row r="16" spans="1:13" x14ac:dyDescent="0.25">
      <c r="B16" s="10">
        <v>2023</v>
      </c>
      <c r="C16" s="11">
        <v>1371090.8945916586</v>
      </c>
      <c r="D16" s="11">
        <f t="shared" si="0"/>
        <v>67772.509090909094</v>
      </c>
      <c r="E16" s="59">
        <f t="shared" si="4"/>
        <v>5315.4909090909086</v>
      </c>
      <c r="F16" s="17">
        <f t="shared" ref="F16:F22" si="5">D16+F15</f>
        <v>361202.97402597137</v>
      </c>
      <c r="G16" s="17">
        <f t="shared" si="1"/>
        <v>244.3790062099782</v>
      </c>
      <c r="H16" s="17">
        <f t="shared" si="2"/>
        <v>1379.4603908839624</v>
      </c>
      <c r="I16" s="12">
        <v>14.6</v>
      </c>
      <c r="J16" s="48">
        <f t="shared" si="3"/>
        <v>7.2727272727272724E-2</v>
      </c>
      <c r="K16" s="6"/>
      <c r="L16" s="6"/>
      <c r="M16" s="14"/>
    </row>
    <row r="17" spans="1:13" x14ac:dyDescent="0.25">
      <c r="B17" s="10">
        <v>2024</v>
      </c>
      <c r="C17" s="11">
        <v>1412434.5035978679</v>
      </c>
      <c r="D17" s="11">
        <f t="shared" si="0"/>
        <v>70342.85714285617</v>
      </c>
      <c r="E17" s="59">
        <f t="shared" si="4"/>
        <v>7034.2857142856165</v>
      </c>
      <c r="F17" s="17">
        <f t="shared" si="5"/>
        <v>431545.83116882754</v>
      </c>
      <c r="G17" s="17">
        <f t="shared" si="1"/>
        <v>249.03275657106624</v>
      </c>
      <c r="H17" s="17">
        <f t="shared" si="2"/>
        <v>1628.4931474550287</v>
      </c>
      <c r="I17" s="12">
        <v>14.6</v>
      </c>
      <c r="J17" s="48">
        <f t="shared" si="3"/>
        <v>9.0909090909090898E-2</v>
      </c>
      <c r="K17" s="6"/>
      <c r="L17" s="6"/>
      <c r="M17" s="14"/>
    </row>
    <row r="18" spans="1:13" x14ac:dyDescent="0.25">
      <c r="B18" s="10">
        <v>2025</v>
      </c>
      <c r="C18" s="11">
        <v>1453842.0175012546</v>
      </c>
      <c r="D18" s="11">
        <f t="shared" si="0"/>
        <v>72757.236363636126</v>
      </c>
      <c r="E18" s="59">
        <f t="shared" si="4"/>
        <v>8909.0493506493203</v>
      </c>
      <c r="F18" s="17">
        <f t="shared" si="5"/>
        <v>504303.0675324637</v>
      </c>
      <c r="G18" s="17">
        <f t="shared" si="1"/>
        <v>253.64607060615464</v>
      </c>
      <c r="H18" s="17">
        <f t="shared" si="2"/>
        <v>1882.1392180611833</v>
      </c>
      <c r="I18" s="12">
        <v>14.6</v>
      </c>
      <c r="J18" s="48">
        <f>100*$J$4/(2030-2019)*(B18-2019)/100</f>
        <v>0.10909090909090909</v>
      </c>
      <c r="K18" s="6"/>
      <c r="L18" s="6"/>
      <c r="M18" s="14"/>
    </row>
    <row r="19" spans="1:13" x14ac:dyDescent="0.25">
      <c r="B19" s="10">
        <v>2026</v>
      </c>
      <c r="C19" s="11">
        <v>1495296.6218874408</v>
      </c>
      <c r="D19" s="11">
        <f t="shared" si="0"/>
        <v>75015.646753245586</v>
      </c>
      <c r="E19" s="59">
        <f t="shared" si="4"/>
        <v>10939.781818181647</v>
      </c>
      <c r="F19" s="17">
        <f t="shared" si="5"/>
        <v>579318.71428570931</v>
      </c>
      <c r="G19" s="17">
        <f t="shared" si="1"/>
        <v>258.32617566443804</v>
      </c>
      <c r="H19" s="17">
        <f t="shared" si="2"/>
        <v>2140.4653937256212</v>
      </c>
      <c r="I19" s="12">
        <v>14.6</v>
      </c>
      <c r="J19" s="48">
        <f t="shared" si="3"/>
        <v>0.12727272727272726</v>
      </c>
      <c r="K19" s="6"/>
      <c r="L19" s="6"/>
      <c r="M19" s="14"/>
    </row>
    <row r="20" spans="1:13" x14ac:dyDescent="0.25">
      <c r="B20" s="10">
        <v>2027</v>
      </c>
      <c r="C20" s="11">
        <v>1536770.45903657</v>
      </c>
      <c r="D20" s="11">
        <f t="shared" si="0"/>
        <v>77118.088311687854</v>
      </c>
      <c r="E20" s="59">
        <f t="shared" si="4"/>
        <v>13126.483116883039</v>
      </c>
      <c r="F20" s="17">
        <f t="shared" si="5"/>
        <v>656436.80259739712</v>
      </c>
      <c r="G20" s="17">
        <f t="shared" si="1"/>
        <v>263.2101057137217</v>
      </c>
      <c r="H20" s="17">
        <f t="shared" si="2"/>
        <v>2403.6754994393427</v>
      </c>
      <c r="I20" s="12">
        <v>14.6</v>
      </c>
      <c r="J20" s="48">
        <f t="shared" si="3"/>
        <v>0.14545454545454545</v>
      </c>
      <c r="K20" s="6"/>
      <c r="L20" s="6"/>
      <c r="M20" s="14"/>
    </row>
    <row r="21" spans="1:13" x14ac:dyDescent="0.25">
      <c r="B21" s="10">
        <v>2028</v>
      </c>
      <c r="C21" s="11">
        <v>1578233.9588539612</v>
      </c>
      <c r="D21" s="11">
        <f t="shared" si="0"/>
        <v>79064.561038961256</v>
      </c>
      <c r="E21" s="59">
        <f t="shared" si="4"/>
        <v>15469.153246753291</v>
      </c>
      <c r="F21" s="17">
        <f t="shared" si="5"/>
        <v>735501.36363635841</v>
      </c>
      <c r="G21" s="17">
        <f t="shared" si="1"/>
        <v>268.45004555785033</v>
      </c>
      <c r="H21" s="17">
        <f t="shared" si="2"/>
        <v>2672.1255449971932</v>
      </c>
      <c r="I21" s="12">
        <v>14.6</v>
      </c>
      <c r="J21" s="48">
        <f t="shared" si="3"/>
        <v>0.16363636363636364</v>
      </c>
      <c r="K21" s="6"/>
      <c r="L21" s="6"/>
      <c r="M21" s="14"/>
    </row>
    <row r="22" spans="1:13" x14ac:dyDescent="0.25">
      <c r="B22" s="10">
        <v>2029</v>
      </c>
      <c r="C22" s="11">
        <v>1619667.6062884759</v>
      </c>
      <c r="D22" s="11">
        <f t="shared" si="0"/>
        <v>80855.064935064293</v>
      </c>
      <c r="E22" s="59">
        <f t="shared" si="4"/>
        <v>17967.792207792059</v>
      </c>
      <c r="F22" s="17">
        <f t="shared" si="5"/>
        <v>816356.4285714227</v>
      </c>
      <c r="G22" s="17">
        <f t="shared" si="1"/>
        <v>274.1879080131277</v>
      </c>
      <c r="H22" s="17">
        <f t="shared" si="2"/>
        <v>2946.3134530103207</v>
      </c>
      <c r="I22" s="12">
        <v>14.6</v>
      </c>
      <c r="J22" s="48">
        <f t="shared" si="3"/>
        <v>0.1818181818181818</v>
      </c>
      <c r="K22" s="6"/>
      <c r="L22" s="6"/>
      <c r="M22" s="14"/>
    </row>
    <row r="23" spans="1:13" x14ac:dyDescent="0.25">
      <c r="B23" s="10">
        <v>2030</v>
      </c>
      <c r="C23" s="11">
        <v>1661026.0804002865</v>
      </c>
      <c r="D23" s="11">
        <f t="shared" si="0"/>
        <v>82489.600000000006</v>
      </c>
      <c r="E23" s="59">
        <f t="shared" si="4"/>
        <v>20622.400000000001</v>
      </c>
      <c r="F23" s="17">
        <f>D23+F22</f>
        <v>898846.02857142268</v>
      </c>
      <c r="G23" s="17">
        <f t="shared" si="1"/>
        <v>280.6665255191611</v>
      </c>
      <c r="H23" s="17">
        <f t="shared" si="2"/>
        <v>3226.9799785294817</v>
      </c>
      <c r="I23" s="12">
        <v>14.6</v>
      </c>
      <c r="J23" s="48">
        <f t="shared" si="3"/>
        <v>0.2</v>
      </c>
      <c r="K23" s="6"/>
      <c r="L23" s="6"/>
      <c r="M23" s="14"/>
    </row>
    <row r="24" spans="1:13" x14ac:dyDescent="0.25">
      <c r="A24">
        <v>1</v>
      </c>
      <c r="B24" s="10">
        <v>2031</v>
      </c>
      <c r="C24" s="43">
        <f>C152</f>
        <v>1699877.2219293118</v>
      </c>
      <c r="D24" s="11">
        <f t="shared" ref="D24:D43" si="6">D67*$D$2-E24</f>
        <v>83968.166233765398</v>
      </c>
      <c r="E24" s="60">
        <f t="shared" si="4"/>
        <v>23432.976623376391</v>
      </c>
      <c r="F24" s="17">
        <f t="shared" ref="F24:F43" si="7">D24+F23</f>
        <v>982814.1948051881</v>
      </c>
      <c r="G24" s="17">
        <f t="shared" ref="G24:G43" si="8">D24*K110/I24</f>
        <v>285.69726936542639</v>
      </c>
      <c r="H24" s="17">
        <f t="shared" ref="H24:H43" si="9">H23+G24</f>
        <v>3512.6772478949083</v>
      </c>
      <c r="I24" s="12">
        <v>14.6</v>
      </c>
      <c r="J24" s="48">
        <f t="shared" si="3"/>
        <v>0.21818181818181817</v>
      </c>
      <c r="K24" s="6"/>
      <c r="L24" s="6"/>
    </row>
    <row r="25" spans="1:13" x14ac:dyDescent="0.25">
      <c r="A25">
        <v>2</v>
      </c>
      <c r="B25" s="10">
        <v>2032</v>
      </c>
      <c r="C25" s="43">
        <f t="shared" ref="C25:C43" si="10">C153</f>
        <v>1739712.7580529451</v>
      </c>
      <c r="D25" s="11">
        <f>D68*$D$2-E25</f>
        <v>85290.763636363437</v>
      </c>
      <c r="E25" s="60">
        <f t="shared" si="4"/>
        <v>26399.522077922014</v>
      </c>
      <c r="F25" s="17">
        <f t="shared" si="7"/>
        <v>1068104.9584415515</v>
      </c>
      <c r="G25" s="17">
        <f t="shared" si="8"/>
        <v>290.19733746671261</v>
      </c>
      <c r="H25" s="17">
        <f t="shared" si="9"/>
        <v>3802.874585361621</v>
      </c>
      <c r="I25" s="12">
        <v>14.6</v>
      </c>
      <c r="J25" s="48">
        <f t="shared" si="3"/>
        <v>0.23636363636363636</v>
      </c>
      <c r="K25" s="6"/>
      <c r="L25" s="6"/>
    </row>
    <row r="26" spans="1:13" x14ac:dyDescent="0.25">
      <c r="A26">
        <v>3</v>
      </c>
      <c r="B26" s="10">
        <v>2033</v>
      </c>
      <c r="C26" s="43">
        <f t="shared" si="10"/>
        <v>1779272.0068622828</v>
      </c>
      <c r="D26" s="11">
        <f>D69*$D$2-E26</f>
        <v>86457.392207791214</v>
      </c>
      <c r="E26" s="60">
        <f t="shared" si="4"/>
        <v>29522.036363636023</v>
      </c>
      <c r="F26" s="17">
        <f t="shared" si="7"/>
        <v>1154562.3506493429</v>
      </c>
      <c r="G26" s="17">
        <f t="shared" si="8"/>
        <v>294.16672982300986</v>
      </c>
      <c r="H26" s="17">
        <f t="shared" si="9"/>
        <v>4097.0413151846305</v>
      </c>
      <c r="I26" s="12">
        <v>14.6</v>
      </c>
      <c r="J26" s="48">
        <f t="shared" si="3"/>
        <v>0.25454545454545452</v>
      </c>
      <c r="K26" s="6"/>
      <c r="L26" s="6"/>
    </row>
    <row r="27" spans="1:13" x14ac:dyDescent="0.25">
      <c r="A27">
        <v>4</v>
      </c>
      <c r="B27" s="10">
        <v>2034</v>
      </c>
      <c r="C27" s="43">
        <f t="shared" si="10"/>
        <v>1818554.9683576822</v>
      </c>
      <c r="D27" s="11">
        <f t="shared" si="6"/>
        <v>87468.051948051565</v>
      </c>
      <c r="E27" s="60">
        <f t="shared" si="4"/>
        <v>32800.519480519331</v>
      </c>
      <c r="F27" s="17">
        <f t="shared" si="7"/>
        <v>1242030.4025973945</v>
      </c>
      <c r="G27" s="17">
        <f t="shared" si="8"/>
        <v>297.60544643432775</v>
      </c>
      <c r="H27" s="17">
        <f t="shared" si="9"/>
        <v>4394.6467616189584</v>
      </c>
      <c r="I27" s="12">
        <v>14.6</v>
      </c>
      <c r="J27" s="48">
        <f t="shared" si="3"/>
        <v>0.27272727272727271</v>
      </c>
      <c r="K27" s="6"/>
      <c r="L27" s="6"/>
    </row>
    <row r="28" spans="1:13" x14ac:dyDescent="0.25">
      <c r="A28">
        <v>5</v>
      </c>
      <c r="B28" s="10">
        <v>2035</v>
      </c>
      <c r="C28" s="43">
        <f t="shared" si="10"/>
        <v>1857561.6425389051</v>
      </c>
      <c r="D28" s="11">
        <f t="shared" si="6"/>
        <v>88322.74285714305</v>
      </c>
      <c r="E28" s="60">
        <f t="shared" si="4"/>
        <v>36234.971428571502</v>
      </c>
      <c r="F28" s="17">
        <f t="shared" si="7"/>
        <v>1330353.1454545376</v>
      </c>
      <c r="G28" s="17">
        <f t="shared" si="8"/>
        <v>300.5134873006615</v>
      </c>
      <c r="H28" s="17">
        <f t="shared" si="9"/>
        <v>4695.1602489196202</v>
      </c>
      <c r="I28" s="12">
        <v>14.6</v>
      </c>
      <c r="J28" s="48">
        <f t="shared" si="3"/>
        <v>0.29090909090909089</v>
      </c>
      <c r="K28" s="6"/>
      <c r="L28" s="6"/>
    </row>
    <row r="29" spans="1:13" x14ac:dyDescent="0.25">
      <c r="A29">
        <v>6</v>
      </c>
      <c r="B29" s="10">
        <v>2036</v>
      </c>
      <c r="C29" s="43">
        <f t="shared" si="10"/>
        <v>1896292.0294060707</v>
      </c>
      <c r="D29" s="11">
        <f t="shared" si="6"/>
        <v>89021.464935064374</v>
      </c>
      <c r="E29" s="60">
        <f t="shared" si="4"/>
        <v>39825.392207791963</v>
      </c>
      <c r="F29" s="17">
        <f t="shared" si="7"/>
        <v>1419374.6103896019</v>
      </c>
      <c r="G29" s="17">
        <f t="shared" si="8"/>
        <v>302.89085242200656</v>
      </c>
      <c r="H29" s="17">
        <f t="shared" si="9"/>
        <v>4998.0511013416271</v>
      </c>
      <c r="I29" s="12">
        <v>14.6</v>
      </c>
      <c r="J29" s="48">
        <f t="shared" si="3"/>
        <v>0.30909090909090908</v>
      </c>
      <c r="K29" s="6"/>
      <c r="L29" s="6"/>
    </row>
    <row r="30" spans="1:13" x14ac:dyDescent="0.25">
      <c r="A30">
        <v>7</v>
      </c>
      <c r="B30" s="10">
        <v>2037</v>
      </c>
      <c r="C30" s="43">
        <f t="shared" si="10"/>
        <v>1934746.1289587021</v>
      </c>
      <c r="D30" s="11">
        <f t="shared" si="6"/>
        <v>89564.218181818185</v>
      </c>
      <c r="E30" s="60">
        <f t="shared" si="4"/>
        <v>43571.781818181815</v>
      </c>
      <c r="F30" s="17">
        <f t="shared" si="7"/>
        <v>1508938.8285714202</v>
      </c>
      <c r="G30" s="17">
        <f t="shared" si="8"/>
        <v>304.73754179837198</v>
      </c>
      <c r="H30" s="17">
        <f t="shared" si="9"/>
        <v>5302.7886431399993</v>
      </c>
      <c r="I30" s="12">
        <v>14.6</v>
      </c>
      <c r="J30" s="48">
        <f t="shared" si="3"/>
        <v>0.32727272727272727</v>
      </c>
      <c r="K30" s="6"/>
      <c r="L30" s="6"/>
    </row>
    <row r="31" spans="1:13" x14ac:dyDescent="0.25">
      <c r="A31">
        <v>8</v>
      </c>
      <c r="B31" s="10">
        <v>2038</v>
      </c>
      <c r="C31" s="43">
        <f t="shared" si="10"/>
        <v>1972923.9411973953</v>
      </c>
      <c r="D31" s="11">
        <f t="shared" si="6"/>
        <v>81910.527744795254</v>
      </c>
      <c r="E31" s="60">
        <f t="shared" si="4"/>
        <v>43230.556309753047</v>
      </c>
      <c r="F31" s="17">
        <f t="shared" si="7"/>
        <v>1590849.3563162154</v>
      </c>
      <c r="G31" s="17">
        <f t="shared" si="8"/>
        <v>278.69626262671329</v>
      </c>
      <c r="H31" s="17">
        <f t="shared" si="9"/>
        <v>5581.4849057667125</v>
      </c>
      <c r="I31" s="12">
        <v>14.6</v>
      </c>
      <c r="J31" s="48">
        <f t="shared" si="3"/>
        <v>0.34545454545454546</v>
      </c>
      <c r="K31" s="6"/>
      <c r="L31" s="6"/>
    </row>
    <row r="32" spans="1:13" x14ac:dyDescent="0.25">
      <c r="A32">
        <v>9</v>
      </c>
      <c r="B32" s="10">
        <v>2039</v>
      </c>
      <c r="C32" s="43">
        <f t="shared" si="10"/>
        <v>2010825.466121912</v>
      </c>
      <c r="D32" s="11">
        <f t="shared" si="6"/>
        <v>24119.152224692432</v>
      </c>
      <c r="E32" s="60">
        <f t="shared" si="4"/>
        <v>13782.372699824246</v>
      </c>
      <c r="F32" s="17">
        <f t="shared" si="7"/>
        <v>1614968.5085409079</v>
      </c>
      <c r="G32" s="17">
        <f t="shared" si="8"/>
        <v>82.064146915152577</v>
      </c>
      <c r="H32" s="17">
        <f t="shared" si="9"/>
        <v>5663.5490526818649</v>
      </c>
      <c r="I32" s="12">
        <v>14.6</v>
      </c>
      <c r="J32" s="48">
        <f t="shared" si="3"/>
        <v>0.36363636363636359</v>
      </c>
      <c r="K32" s="6"/>
      <c r="L32" s="6"/>
    </row>
    <row r="33" spans="1:18" x14ac:dyDescent="0.25">
      <c r="A33">
        <v>10</v>
      </c>
      <c r="B33" s="10">
        <v>2040</v>
      </c>
      <c r="C33" s="43">
        <f t="shared" si="10"/>
        <v>2048450.7037320137</v>
      </c>
      <c r="D33" s="11">
        <f t="shared" si="6"/>
        <v>23259.237795335597</v>
      </c>
      <c r="E33" s="60">
        <f t="shared" si="4"/>
        <v>14365.999814766103</v>
      </c>
      <c r="F33" s="17">
        <f t="shared" si="7"/>
        <v>1638227.7463362436</v>
      </c>
      <c r="G33" s="17">
        <f t="shared" si="8"/>
        <v>79.138333295843296</v>
      </c>
      <c r="H33" s="17">
        <f t="shared" si="9"/>
        <v>5742.6873859777079</v>
      </c>
      <c r="I33" s="12">
        <v>14.6</v>
      </c>
      <c r="J33" s="48">
        <f t="shared" si="3"/>
        <v>0.38181818181818178</v>
      </c>
      <c r="K33" s="6"/>
      <c r="L33" s="6"/>
    </row>
    <row r="34" spans="1:18" x14ac:dyDescent="0.25">
      <c r="A34">
        <v>11</v>
      </c>
      <c r="B34" s="10">
        <v>2041</v>
      </c>
      <c r="C34" s="43">
        <f t="shared" si="10"/>
        <v>2085799.6540281773</v>
      </c>
      <c r="D34" s="11">
        <f t="shared" si="6"/>
        <v>22409.370177698132</v>
      </c>
      <c r="E34" s="60">
        <f t="shared" si="4"/>
        <v>14939.580118465425</v>
      </c>
      <c r="F34" s="17">
        <f t="shared" si="7"/>
        <v>1660637.1165139417</v>
      </c>
      <c r="G34" s="17">
        <f t="shared" si="8"/>
        <v>76.24670342500437</v>
      </c>
      <c r="H34" s="17">
        <f t="shared" si="9"/>
        <v>5818.9340894027118</v>
      </c>
      <c r="I34" s="12">
        <v>14.6</v>
      </c>
      <c r="J34" s="48">
        <f t="shared" si="3"/>
        <v>0.4</v>
      </c>
      <c r="K34" s="6"/>
      <c r="L34" s="6"/>
    </row>
    <row r="35" spans="1:18" x14ac:dyDescent="0.25">
      <c r="A35">
        <v>12</v>
      </c>
      <c r="B35" s="10">
        <v>2042</v>
      </c>
      <c r="C35" s="43">
        <f t="shared" si="10"/>
        <v>2122872.3170102835</v>
      </c>
      <c r="D35" s="11">
        <f t="shared" si="6"/>
        <v>21569.549371407247</v>
      </c>
      <c r="E35" s="60">
        <f t="shared" si="4"/>
        <v>15503.113610698962</v>
      </c>
      <c r="F35" s="17">
        <f t="shared" si="7"/>
        <v>1682206.6658853488</v>
      </c>
      <c r="G35" s="17">
        <f t="shared" si="8"/>
        <v>73.389257301367422</v>
      </c>
      <c r="H35" s="17">
        <f t="shared" si="9"/>
        <v>5892.3233467040791</v>
      </c>
      <c r="I35" s="12">
        <v>14.6</v>
      </c>
      <c r="J35" s="48">
        <f t="shared" si="3"/>
        <v>0.41818181818181821</v>
      </c>
      <c r="K35" s="6"/>
      <c r="L35" s="6"/>
    </row>
    <row r="36" spans="1:18" x14ac:dyDescent="0.25">
      <c r="A36">
        <v>13</v>
      </c>
      <c r="B36" s="10">
        <v>2043</v>
      </c>
      <c r="C36" s="43">
        <f t="shared" si="10"/>
        <v>2159668.6926778555</v>
      </c>
      <c r="D36" s="11">
        <f t="shared" si="6"/>
        <v>20739.775376267869</v>
      </c>
      <c r="E36" s="60">
        <f t="shared" si="4"/>
        <v>16056.600291304154</v>
      </c>
      <c r="F36" s="17">
        <f t="shared" si="7"/>
        <v>1702946.4412616168</v>
      </c>
      <c r="G36" s="17">
        <f t="shared" si="8"/>
        <v>70.565994924268708</v>
      </c>
      <c r="H36" s="17">
        <f t="shared" si="9"/>
        <v>5962.8893416283481</v>
      </c>
      <c r="I36" s="12">
        <v>14.6</v>
      </c>
      <c r="J36" s="48">
        <f t="shared" si="3"/>
        <v>0.43636363636363634</v>
      </c>
      <c r="K36" s="6"/>
      <c r="L36" s="6"/>
    </row>
    <row r="37" spans="1:18" x14ac:dyDescent="0.25">
      <c r="A37">
        <v>14</v>
      </c>
      <c r="B37" s="10">
        <v>2044</v>
      </c>
      <c r="C37" s="43">
        <f t="shared" si="10"/>
        <v>2196188.7810314894</v>
      </c>
      <c r="D37" s="11">
        <f t="shared" si="6"/>
        <v>19920.048192891209</v>
      </c>
      <c r="E37" s="60">
        <f t="shared" si="4"/>
        <v>16600.040160742672</v>
      </c>
      <c r="F37" s="17">
        <f t="shared" si="7"/>
        <v>1722866.4894545081</v>
      </c>
      <c r="G37" s="17">
        <f t="shared" si="8"/>
        <v>67.776916295787828</v>
      </c>
      <c r="H37" s="17">
        <f t="shared" si="9"/>
        <v>6030.6662579241356</v>
      </c>
      <c r="I37" s="12">
        <v>14.6</v>
      </c>
      <c r="J37" s="48">
        <f t="shared" si="3"/>
        <v>0.45454545454545453</v>
      </c>
      <c r="K37" s="6"/>
      <c r="L37" s="6"/>
    </row>
    <row r="38" spans="1:18" x14ac:dyDescent="0.25">
      <c r="A38">
        <v>15</v>
      </c>
      <c r="B38" s="10">
        <v>2045</v>
      </c>
      <c r="C38" s="43">
        <f t="shared" si="10"/>
        <v>2232432.5820710659</v>
      </c>
      <c r="D38" s="11">
        <f t="shared" si="6"/>
        <v>19110.367820867625</v>
      </c>
      <c r="E38" s="60">
        <f t="shared" si="4"/>
        <v>17133.433218708906</v>
      </c>
      <c r="F38" s="17">
        <f t="shared" si="7"/>
        <v>1741976.8572753756</v>
      </c>
      <c r="G38" s="17">
        <f t="shared" si="8"/>
        <v>65.022021414531025</v>
      </c>
      <c r="H38" s="17">
        <f t="shared" si="9"/>
        <v>6095.6882793386667</v>
      </c>
      <c r="I38" s="12">
        <v>14.6</v>
      </c>
      <c r="J38" s="48">
        <f t="shared" si="3"/>
        <v>0.47272727272727272</v>
      </c>
      <c r="K38" s="6"/>
      <c r="L38" s="6"/>
      <c r="N38" s="76" t="s">
        <v>45</v>
      </c>
      <c r="O38" s="76"/>
    </row>
    <row r="39" spans="1:18" x14ac:dyDescent="0.25">
      <c r="A39">
        <v>16</v>
      </c>
      <c r="B39" s="10">
        <v>2046</v>
      </c>
      <c r="C39" s="43">
        <f t="shared" si="10"/>
        <v>2268400.0957963467</v>
      </c>
      <c r="D39" s="11">
        <f t="shared" si="6"/>
        <v>18310.734260142934</v>
      </c>
      <c r="E39" s="60">
        <f t="shared" si="4"/>
        <v>17656.779465137828</v>
      </c>
      <c r="F39" s="17">
        <f t="shared" si="7"/>
        <v>1760287.5915355186</v>
      </c>
      <c r="G39" s="17">
        <f t="shared" si="8"/>
        <v>62.301310280313935</v>
      </c>
      <c r="H39" s="17">
        <f t="shared" si="9"/>
        <v>6157.989589618981</v>
      </c>
      <c r="I39" s="12">
        <v>14.6</v>
      </c>
      <c r="J39" s="48">
        <f t="shared" si="3"/>
        <v>0.49090909090909085</v>
      </c>
      <c r="K39" s="6"/>
      <c r="L39" s="6"/>
      <c r="N39" s="38" t="s">
        <v>46</v>
      </c>
      <c r="O39" s="38">
        <v>4289.1428571428569</v>
      </c>
    </row>
    <row r="40" spans="1:18" x14ac:dyDescent="0.25">
      <c r="A40">
        <v>17</v>
      </c>
      <c r="B40" s="10">
        <v>2047</v>
      </c>
      <c r="C40" s="43">
        <f t="shared" si="10"/>
        <v>2304091.3222073317</v>
      </c>
      <c r="D40" s="11">
        <f t="shared" si="6"/>
        <v>17521.147510847179</v>
      </c>
      <c r="E40" s="60">
        <f t="shared" si="4"/>
        <v>18170.078900137814</v>
      </c>
      <c r="F40" s="17">
        <f t="shared" si="7"/>
        <v>1777808.7390463657</v>
      </c>
      <c r="G40" s="17">
        <f t="shared" si="8"/>
        <v>59.614782893579012</v>
      </c>
      <c r="H40" s="17">
        <f t="shared" si="9"/>
        <v>6217.6043725125601</v>
      </c>
      <c r="I40" s="12">
        <v>14.6</v>
      </c>
      <c r="J40" s="48">
        <f t="shared" si="3"/>
        <v>0.50909090909090904</v>
      </c>
      <c r="K40" s="6"/>
      <c r="L40" s="6"/>
      <c r="N40" s="38" t="s">
        <v>47</v>
      </c>
      <c r="O40" s="38">
        <v>-8603848</v>
      </c>
    </row>
    <row r="41" spans="1:18" x14ac:dyDescent="0.25">
      <c r="A41">
        <v>18</v>
      </c>
      <c r="B41" s="10">
        <v>2048</v>
      </c>
      <c r="C41" s="43">
        <f t="shared" si="10"/>
        <v>2339506.2613042593</v>
      </c>
      <c r="D41" s="11">
        <f t="shared" si="6"/>
        <v>16741.607573093068</v>
      </c>
      <c r="E41" s="60">
        <f t="shared" si="4"/>
        <v>18673.331523834575</v>
      </c>
      <c r="F41" s="17">
        <f t="shared" si="7"/>
        <v>1794550.3466194589</v>
      </c>
      <c r="G41" s="17">
        <f t="shared" si="8"/>
        <v>56.962439254709764</v>
      </c>
      <c r="H41" s="17">
        <f t="shared" si="9"/>
        <v>6274.5668117672694</v>
      </c>
      <c r="I41" s="12">
        <v>14.6</v>
      </c>
      <c r="J41" s="48">
        <f t="shared" si="3"/>
        <v>0.52727272727272723</v>
      </c>
      <c r="K41" s="6"/>
      <c r="L41" s="6"/>
      <c r="N41" s="38" t="s">
        <v>48</v>
      </c>
      <c r="O41" s="38">
        <v>0.87207427576387386</v>
      </c>
    </row>
    <row r="42" spans="1:18" x14ac:dyDescent="0.25">
      <c r="A42">
        <v>19</v>
      </c>
      <c r="B42" s="10">
        <v>2049</v>
      </c>
      <c r="C42" s="43">
        <f t="shared" si="10"/>
        <v>2374644.9130871296</v>
      </c>
      <c r="D42" s="11">
        <f t="shared" si="6"/>
        <v>15972.114446759224</v>
      </c>
      <c r="E42" s="60">
        <f t="shared" si="4"/>
        <v>19166.537336111069</v>
      </c>
      <c r="F42" s="17">
        <f t="shared" si="7"/>
        <v>1810522.4610662181</v>
      </c>
      <c r="G42" s="17">
        <f t="shared" si="8"/>
        <v>54.34427936329319</v>
      </c>
      <c r="H42" s="17">
        <f t="shared" si="9"/>
        <v>6328.9110911305625</v>
      </c>
      <c r="I42" s="12">
        <v>14.6</v>
      </c>
      <c r="J42" s="48">
        <f t="shared" si="3"/>
        <v>0.54545454545454541</v>
      </c>
      <c r="K42" s="6"/>
      <c r="L42" s="6"/>
      <c r="N42" s="45" t="s">
        <v>49</v>
      </c>
      <c r="O42" s="37" t="s">
        <v>50</v>
      </c>
    </row>
    <row r="43" spans="1:18" x14ac:dyDescent="0.25">
      <c r="A43">
        <v>20</v>
      </c>
      <c r="B43" s="10">
        <v>2050</v>
      </c>
      <c r="C43" s="43">
        <f t="shared" si="10"/>
        <v>2409507.2775554657</v>
      </c>
      <c r="D43" s="11">
        <f t="shared" si="6"/>
        <v>15212.668131637576</v>
      </c>
      <c r="E43" s="60">
        <f t="shared" si="4"/>
        <v>19649.696336698529</v>
      </c>
      <c r="F43" s="17">
        <f t="shared" si="7"/>
        <v>1825735.1291978557</v>
      </c>
      <c r="G43" s="17">
        <f t="shared" si="8"/>
        <v>51.760303218621338</v>
      </c>
      <c r="H43" s="17">
        <f t="shared" si="9"/>
        <v>6380.6713943491841</v>
      </c>
      <c r="I43" s="12">
        <v>14.6</v>
      </c>
      <c r="J43" s="48">
        <f t="shared" si="3"/>
        <v>0.5636363636363636</v>
      </c>
      <c r="K43" s="6"/>
      <c r="L43" s="6"/>
    </row>
    <row r="44" spans="1:18" x14ac:dyDescent="0.25">
      <c r="B44" t="s">
        <v>23</v>
      </c>
      <c r="C44" t="s">
        <v>24</v>
      </c>
      <c r="D44" t="s">
        <v>25</v>
      </c>
      <c r="E44" t="s">
        <v>27</v>
      </c>
      <c r="F44" s="5"/>
      <c r="J44" s="5"/>
      <c r="K44" s="6"/>
      <c r="L44" s="6"/>
    </row>
    <row r="45" spans="1:18" x14ac:dyDescent="0.25">
      <c r="B45" t="s">
        <v>32</v>
      </c>
      <c r="F45" s="5"/>
      <c r="J45" s="5"/>
      <c r="K45" s="6"/>
      <c r="L45" s="6"/>
    </row>
    <row r="46" spans="1:18" x14ac:dyDescent="0.25">
      <c r="F46" s="5"/>
      <c r="I46" s="5"/>
      <c r="J46" s="5"/>
      <c r="K46" s="5"/>
      <c r="L46" s="5"/>
    </row>
    <row r="47" spans="1:18" x14ac:dyDescent="0.25">
      <c r="B47" s="32"/>
      <c r="C47" s="33"/>
      <c r="D47" s="33"/>
      <c r="E47" s="68" t="s">
        <v>11</v>
      </c>
      <c r="F47" s="68"/>
      <c r="G47" s="68"/>
      <c r="H47" s="68"/>
      <c r="I47" s="34"/>
      <c r="J47" s="5"/>
      <c r="K47" s="5"/>
      <c r="L47" s="5"/>
    </row>
    <row r="48" spans="1:18" ht="45" x14ac:dyDescent="0.25">
      <c r="B48" s="9" t="s">
        <v>0</v>
      </c>
      <c r="C48" s="9" t="s">
        <v>22</v>
      </c>
      <c r="D48" s="9" t="s">
        <v>61</v>
      </c>
      <c r="E48" s="16" t="s">
        <v>55</v>
      </c>
      <c r="F48" s="16" t="s">
        <v>6</v>
      </c>
      <c r="G48" s="16" t="s">
        <v>7</v>
      </c>
      <c r="H48" s="16"/>
      <c r="I48" s="9" t="s">
        <v>4</v>
      </c>
      <c r="J48" s="63" t="s">
        <v>53</v>
      </c>
      <c r="K48" s="49" t="s">
        <v>33</v>
      </c>
      <c r="L48" s="50" t="s">
        <v>63</v>
      </c>
      <c r="M48" s="62" t="s">
        <v>0</v>
      </c>
      <c r="N48" s="9" t="s">
        <v>54</v>
      </c>
      <c r="O48" s="16" t="s">
        <v>57</v>
      </c>
      <c r="P48" s="57" t="s">
        <v>58</v>
      </c>
      <c r="Q48" s="16" t="s">
        <v>59</v>
      </c>
      <c r="R48" s="54" t="s">
        <v>60</v>
      </c>
    </row>
    <row r="49" spans="1:20" x14ac:dyDescent="0.25">
      <c r="B49" s="10">
        <v>2013</v>
      </c>
      <c r="C49" s="11">
        <v>1073183.6651212492</v>
      </c>
      <c r="D49" s="29">
        <v>28898</v>
      </c>
      <c r="E49" s="17"/>
      <c r="F49" s="17">
        <f>C6-F6-SUM($E$6:E6)</f>
        <v>1073183.6651212492</v>
      </c>
      <c r="G49" s="17">
        <f t="shared" ref="G49:G66" si="11">F49*K92/I49</f>
        <v>4488.9048500498293</v>
      </c>
      <c r="H49" s="17"/>
      <c r="I49" s="12">
        <v>14.6</v>
      </c>
      <c r="J49" s="64"/>
      <c r="K49" s="38"/>
      <c r="L49" s="38"/>
      <c r="M49">
        <v>2013</v>
      </c>
      <c r="N49" s="29">
        <v>28898</v>
      </c>
      <c r="O49" s="18"/>
      <c r="P49" s="58">
        <v>0</v>
      </c>
      <c r="Q49" s="18">
        <f>P49*C49+(1-P49)*O49</f>
        <v>0</v>
      </c>
      <c r="R49" s="55">
        <v>0</v>
      </c>
    </row>
    <row r="50" spans="1:20" x14ac:dyDescent="0.25">
      <c r="B50" s="10">
        <v>2014</v>
      </c>
      <c r="C50" s="11">
        <v>976651.16433813574</v>
      </c>
      <c r="D50" s="29">
        <v>28300</v>
      </c>
      <c r="E50" s="17"/>
      <c r="F50" s="17">
        <f>C7-F7-SUM($E$6:E7)</f>
        <v>976651.16433813574</v>
      </c>
      <c r="G50" s="17">
        <f t="shared" si="11"/>
        <v>4409.1759291458893</v>
      </c>
      <c r="H50" s="17"/>
      <c r="I50" s="12">
        <v>14.6</v>
      </c>
      <c r="J50" s="64"/>
      <c r="K50" s="38"/>
      <c r="L50" s="38"/>
      <c r="M50">
        <v>2014</v>
      </c>
      <c r="N50" s="29">
        <v>28300</v>
      </c>
      <c r="O50" s="18"/>
      <c r="P50" s="58">
        <v>0</v>
      </c>
      <c r="Q50" s="18">
        <f t="shared" ref="Q50:Q86" si="12">P50*C50+(1-P50)*O50</f>
        <v>0</v>
      </c>
      <c r="R50" s="4">
        <f t="shared" ref="R50:R52" si="13">Q50-Q49</f>
        <v>0</v>
      </c>
    </row>
    <row r="51" spans="1:20" x14ac:dyDescent="0.25">
      <c r="B51" s="10">
        <v>2015</v>
      </c>
      <c r="C51" s="11">
        <v>1019571.4085290028</v>
      </c>
      <c r="D51" s="29">
        <v>37202</v>
      </c>
      <c r="E51" s="17"/>
      <c r="F51" s="17">
        <f>C8-F8-SUM($E$6:E8)</f>
        <v>1019571.4085290028</v>
      </c>
      <c r="G51" s="17">
        <f t="shared" si="11"/>
        <v>4697.8044143992256</v>
      </c>
      <c r="H51" s="17"/>
      <c r="I51" s="12">
        <v>14.6</v>
      </c>
      <c r="J51" s="64"/>
      <c r="K51" s="38"/>
      <c r="L51" s="38"/>
      <c r="M51">
        <v>2015</v>
      </c>
      <c r="N51" s="29">
        <v>37202</v>
      </c>
      <c r="O51" s="18"/>
      <c r="P51" s="58">
        <v>0</v>
      </c>
      <c r="Q51" s="18">
        <f t="shared" si="12"/>
        <v>0</v>
      </c>
      <c r="R51" s="4">
        <f t="shared" si="13"/>
        <v>0</v>
      </c>
    </row>
    <row r="52" spans="1:20" x14ac:dyDescent="0.25">
      <c r="B52" s="10">
        <v>2016</v>
      </c>
      <c r="C52" s="11">
        <v>1117970.6924468274</v>
      </c>
      <c r="D52" s="29">
        <v>48314</v>
      </c>
      <c r="E52" s="17"/>
      <c r="F52" s="17">
        <f>C9-F9-SUM($E$6:E9)</f>
        <v>1117970.6924468274</v>
      </c>
      <c r="G52" s="17">
        <f t="shared" si="11"/>
        <v>4861.0155688288969</v>
      </c>
      <c r="H52" s="17"/>
      <c r="I52" s="12">
        <v>14.6</v>
      </c>
      <c r="J52" s="64"/>
      <c r="K52" s="38"/>
      <c r="L52" s="38"/>
      <c r="M52">
        <v>2016</v>
      </c>
      <c r="N52" s="29">
        <v>48314</v>
      </c>
      <c r="O52" s="18"/>
      <c r="P52" s="58">
        <v>0</v>
      </c>
      <c r="Q52" s="18">
        <f t="shared" si="12"/>
        <v>0</v>
      </c>
      <c r="R52" s="4">
        <f t="shared" si="13"/>
        <v>0</v>
      </c>
    </row>
    <row r="53" spans="1:20" x14ac:dyDescent="0.25">
      <c r="B53" s="10">
        <v>2017</v>
      </c>
      <c r="C53" s="11">
        <v>1053030.9082251894</v>
      </c>
      <c r="D53" s="29">
        <v>47353.142857141793</v>
      </c>
      <c r="E53" s="17"/>
      <c r="F53" s="17">
        <f>C10-F10-SUM($E$6:E10)</f>
        <v>1053030.9082251894</v>
      </c>
      <c r="G53" s="17">
        <f t="shared" si="11"/>
        <v>4774.6817019902837</v>
      </c>
      <c r="H53" s="17"/>
      <c r="I53" s="12">
        <v>14.6</v>
      </c>
      <c r="J53" s="64"/>
      <c r="K53" s="38"/>
      <c r="L53" s="38"/>
      <c r="M53">
        <v>2017</v>
      </c>
      <c r="N53" s="29">
        <v>47353.142857141793</v>
      </c>
      <c r="O53" s="18"/>
      <c r="P53" s="58">
        <v>0</v>
      </c>
      <c r="Q53" s="18">
        <f t="shared" si="12"/>
        <v>0</v>
      </c>
      <c r="R53" s="4">
        <f>Q53-Q52</f>
        <v>0</v>
      </c>
    </row>
    <row r="54" spans="1:20" x14ac:dyDescent="0.25">
      <c r="A54" s="3" t="s">
        <v>3</v>
      </c>
      <c r="B54" s="10">
        <v>2018</v>
      </c>
      <c r="C54" s="11">
        <v>1166385.7116395417</v>
      </c>
      <c r="D54" s="56">
        <f>R54</f>
        <v>51642.285714285448</v>
      </c>
      <c r="E54" s="17">
        <f>E53+D54</f>
        <v>51642.285714285448</v>
      </c>
      <c r="F54" s="17">
        <f>C11-F11-SUM($E$6:E11)</f>
        <v>1114743.4259252562</v>
      </c>
      <c r="G54" s="17">
        <f t="shared" si="11"/>
        <v>4572.9047607923612</v>
      </c>
      <c r="H54" s="17"/>
      <c r="I54" s="12">
        <v>14.6</v>
      </c>
      <c r="J54" s="64"/>
      <c r="K54" s="38">
        <v>199</v>
      </c>
      <c r="L54" s="43">
        <f>L53+K54</f>
        <v>199</v>
      </c>
      <c r="M54">
        <v>2018</v>
      </c>
      <c r="N54" s="29">
        <v>51642.285714285448</v>
      </c>
      <c r="O54" s="17">
        <f>O53+N54</f>
        <v>51642.285714285448</v>
      </c>
      <c r="P54" s="58">
        <f>IF(C54&gt;O54,0,1)</f>
        <v>0</v>
      </c>
      <c r="Q54" s="17">
        <f t="shared" si="12"/>
        <v>51642.285714285448</v>
      </c>
      <c r="R54" s="4">
        <f>Q54-Q53</f>
        <v>51642.285714285448</v>
      </c>
      <c r="T54" s="2"/>
    </row>
    <row r="55" spans="1:20" x14ac:dyDescent="0.25">
      <c r="B55" s="10">
        <v>2019</v>
      </c>
      <c r="C55" s="11">
        <v>1206991.5861911501</v>
      </c>
      <c r="D55" s="56">
        <f t="shared" ref="D55:D86" si="14">R55</f>
        <v>55931.428571427241</v>
      </c>
      <c r="E55" s="17">
        <f t="shared" ref="E55:E86" si="15">E54+D55</f>
        <v>107573.71428571269</v>
      </c>
      <c r="F55" s="17">
        <f>C12-F12-SUM($E$6:E12)</f>
        <v>1099417.8719054374</v>
      </c>
      <c r="G55" s="17">
        <f t="shared" si="11"/>
        <v>4374.8827982689982</v>
      </c>
      <c r="H55" s="17"/>
      <c r="I55" s="12">
        <v>14.6</v>
      </c>
      <c r="J55" s="65">
        <f>J12</f>
        <v>0</v>
      </c>
      <c r="K55" s="43">
        <v>280</v>
      </c>
      <c r="L55" s="43">
        <f>L54+K55</f>
        <v>479</v>
      </c>
      <c r="M55">
        <v>2019</v>
      </c>
      <c r="N55" s="29">
        <v>55931.428571427241</v>
      </c>
      <c r="O55" s="17">
        <f t="shared" ref="O55:O86" si="16">O54+N55</f>
        <v>107573.71428571269</v>
      </c>
      <c r="P55" s="58">
        <f t="shared" ref="P55:P86" si="17">IF(C55&gt;O55,0,1)</f>
        <v>0</v>
      </c>
      <c r="Q55" s="17">
        <f t="shared" si="12"/>
        <v>107573.71428571269</v>
      </c>
      <c r="R55" s="4">
        <f>Q55-Q54</f>
        <v>55931.428571427241</v>
      </c>
      <c r="S55" s="2"/>
      <c r="T55" s="2"/>
    </row>
    <row r="56" spans="1:20" x14ac:dyDescent="0.25">
      <c r="B56" s="10">
        <v>2020</v>
      </c>
      <c r="C56" s="11">
        <v>1247784.1313553418</v>
      </c>
      <c r="D56" s="56">
        <f t="shared" si="14"/>
        <v>60220.571428570896</v>
      </c>
      <c r="E56" s="17">
        <f t="shared" si="15"/>
        <v>167794.28571428359</v>
      </c>
      <c r="F56" s="17">
        <f>C13-F13-SUM($E$6:E13)</f>
        <v>1079989.8456410584</v>
      </c>
      <c r="G56" s="17">
        <f t="shared" si="11"/>
        <v>4178.1480588033046</v>
      </c>
      <c r="H56" s="17"/>
      <c r="I56" s="12">
        <v>14.6</v>
      </c>
      <c r="J56" s="65">
        <f t="shared" ref="J56:J86" si="18">J13</f>
        <v>1.8181818181818181E-2</v>
      </c>
      <c r="K56" s="43">
        <f t="shared" ref="K56:K86" si="19">J56*D56</f>
        <v>1094.9194805194709</v>
      </c>
      <c r="L56" s="43">
        <f t="shared" ref="L56:L86" si="20">L55+K56</f>
        <v>1573.9194805194709</v>
      </c>
      <c r="M56">
        <v>2020</v>
      </c>
      <c r="N56" s="29">
        <v>60220.571428570896</v>
      </c>
      <c r="O56" s="17">
        <f t="shared" si="16"/>
        <v>167794.28571428359</v>
      </c>
      <c r="P56" s="58">
        <f t="shared" si="17"/>
        <v>0</v>
      </c>
      <c r="Q56" s="17">
        <f t="shared" si="12"/>
        <v>167794.28571428359</v>
      </c>
      <c r="R56" s="4">
        <f t="shared" ref="R56:R86" si="21">Q56-Q55</f>
        <v>60220.571428570896</v>
      </c>
      <c r="S56" s="2"/>
      <c r="T56" s="2"/>
    </row>
    <row r="57" spans="1:20" x14ac:dyDescent="0.25">
      <c r="B57" s="10">
        <v>2021</v>
      </c>
      <c r="C57" s="11">
        <v>1288748.2711188961</v>
      </c>
      <c r="D57" s="56">
        <f t="shared" si="14"/>
        <v>64509.714285714552</v>
      </c>
      <c r="E57" s="17">
        <f t="shared" si="15"/>
        <v>232303.99999999814</v>
      </c>
      <c r="F57" s="17">
        <f>C14-F14-SUM($E$6:E14)</f>
        <v>1056444.2711188979</v>
      </c>
      <c r="G57" s="17">
        <f t="shared" si="11"/>
        <v>3982.5406391933921</v>
      </c>
      <c r="H57" s="17"/>
      <c r="I57" s="12">
        <v>14.6</v>
      </c>
      <c r="J57" s="65">
        <f t="shared" si="18"/>
        <v>3.6363636363636362E-2</v>
      </c>
      <c r="K57" s="43">
        <f t="shared" si="19"/>
        <v>2345.8077922078019</v>
      </c>
      <c r="L57" s="43">
        <f t="shared" si="20"/>
        <v>3919.727272727273</v>
      </c>
      <c r="M57">
        <v>2021</v>
      </c>
      <c r="N57" s="29">
        <v>64509.714285714552</v>
      </c>
      <c r="O57" s="17">
        <f t="shared" si="16"/>
        <v>232303.99999999814</v>
      </c>
      <c r="P57" s="58">
        <f t="shared" si="17"/>
        <v>0</v>
      </c>
      <c r="Q57" s="17">
        <f>P57*C57+(1-P57)*O57</f>
        <v>232303.99999999814</v>
      </c>
      <c r="R57" s="4">
        <f t="shared" si="21"/>
        <v>64509.714285714552</v>
      </c>
      <c r="S57" s="2"/>
      <c r="T57" s="2"/>
    </row>
    <row r="58" spans="1:20" x14ac:dyDescent="0.25">
      <c r="B58" s="10">
        <v>2022</v>
      </c>
      <c r="C58" s="11">
        <v>1329857.3224403893</v>
      </c>
      <c r="D58" s="56">
        <f t="shared" si="14"/>
        <v>68798.857142856345</v>
      </c>
      <c r="E58" s="17">
        <f t="shared" si="15"/>
        <v>301102.85714285448</v>
      </c>
      <c r="F58" s="17">
        <f>C15-F15-SUM($E$6:E15)</f>
        <v>1028754.4652975349</v>
      </c>
      <c r="G58" s="17">
        <f t="shared" si="11"/>
        <v>3788.1330883649975</v>
      </c>
      <c r="H58" s="17"/>
      <c r="I58" s="12">
        <v>14.6</v>
      </c>
      <c r="J58" s="65">
        <f t="shared" si="18"/>
        <v>5.4545454545454543E-2</v>
      </c>
      <c r="K58" s="43">
        <f t="shared" si="19"/>
        <v>3752.6649350648913</v>
      </c>
      <c r="L58" s="43">
        <f t="shared" si="20"/>
        <v>7672.3922077921643</v>
      </c>
      <c r="M58">
        <v>2022</v>
      </c>
      <c r="N58" s="29">
        <v>68798.857142856345</v>
      </c>
      <c r="O58" s="17">
        <f t="shared" si="16"/>
        <v>301102.85714285448</v>
      </c>
      <c r="P58" s="58">
        <f t="shared" si="17"/>
        <v>0</v>
      </c>
      <c r="Q58" s="17">
        <f t="shared" si="12"/>
        <v>301102.85714285448</v>
      </c>
      <c r="R58" s="4">
        <f t="shared" si="21"/>
        <v>68798.857142856345</v>
      </c>
      <c r="S58" s="2"/>
      <c r="T58" s="2"/>
    </row>
    <row r="59" spans="1:20" x14ac:dyDescent="0.25">
      <c r="B59" s="10">
        <v>2023</v>
      </c>
      <c r="C59" s="11">
        <v>1371090.8945916586</v>
      </c>
      <c r="D59" s="56">
        <f t="shared" si="14"/>
        <v>73088</v>
      </c>
      <c r="E59" s="17">
        <f t="shared" si="15"/>
        <v>374190.85714285448</v>
      </c>
      <c r="F59" s="17">
        <f>C16-F16-SUM($E$6:E16)</f>
        <v>996900.03744880413</v>
      </c>
      <c r="G59" s="17">
        <f t="shared" si="11"/>
        <v>3594.6941276091529</v>
      </c>
      <c r="H59" s="17"/>
      <c r="I59" s="12">
        <v>14.6</v>
      </c>
      <c r="J59" s="65">
        <f t="shared" si="18"/>
        <v>7.2727272727272724E-2</v>
      </c>
      <c r="K59" s="43">
        <f t="shared" si="19"/>
        <v>5315.4909090909086</v>
      </c>
      <c r="L59" s="43">
        <f t="shared" si="20"/>
        <v>12987.883116883073</v>
      </c>
      <c r="M59">
        <v>2023</v>
      </c>
      <c r="N59" s="29">
        <v>73088</v>
      </c>
      <c r="O59" s="17">
        <f t="shared" si="16"/>
        <v>374190.85714285448</v>
      </c>
      <c r="P59" s="58">
        <f t="shared" si="17"/>
        <v>0</v>
      </c>
      <c r="Q59" s="17">
        <f t="shared" si="12"/>
        <v>374190.85714285448</v>
      </c>
      <c r="R59" s="4">
        <f t="shared" si="21"/>
        <v>73088</v>
      </c>
      <c r="S59" s="2"/>
      <c r="T59" s="2"/>
    </row>
    <row r="60" spans="1:20" x14ac:dyDescent="0.25">
      <c r="B60" s="10">
        <v>2024</v>
      </c>
      <c r="C60" s="11">
        <v>1412434.5035978679</v>
      </c>
      <c r="D60" s="56">
        <f t="shared" si="14"/>
        <v>77377.142857141793</v>
      </c>
      <c r="E60" s="17">
        <f t="shared" si="15"/>
        <v>451567.99999999627</v>
      </c>
      <c r="F60" s="17">
        <f>C17-F17-SUM($E$6:E17)</f>
        <v>960866.50359787163</v>
      </c>
      <c r="G60" s="17">
        <f t="shared" si="11"/>
        <v>3401.7275357727162</v>
      </c>
      <c r="H60" s="17"/>
      <c r="I60" s="12">
        <v>14.6</v>
      </c>
      <c r="J60" s="65">
        <f t="shared" si="18"/>
        <v>9.0909090909090898E-2</v>
      </c>
      <c r="K60" s="43">
        <f t="shared" si="19"/>
        <v>7034.2857142856165</v>
      </c>
      <c r="L60" s="43">
        <f t="shared" si="20"/>
        <v>20022.168831168688</v>
      </c>
      <c r="M60">
        <v>2024</v>
      </c>
      <c r="N60" s="29">
        <v>77377.142857141793</v>
      </c>
      <c r="O60" s="17">
        <f t="shared" si="16"/>
        <v>451567.99999999627</v>
      </c>
      <c r="P60" s="58">
        <f t="shared" si="17"/>
        <v>0</v>
      </c>
      <c r="Q60" s="17">
        <f t="shared" si="12"/>
        <v>451567.99999999627</v>
      </c>
      <c r="R60" s="4">
        <f t="shared" si="21"/>
        <v>77377.142857141793</v>
      </c>
      <c r="S60" s="2"/>
      <c r="T60" s="2"/>
    </row>
    <row r="61" spans="1:20" x14ac:dyDescent="0.25">
      <c r="B61" s="10">
        <v>2025</v>
      </c>
      <c r="C61" s="11">
        <v>1453842.0175012546</v>
      </c>
      <c r="D61" s="56">
        <f t="shared" si="14"/>
        <v>81666.285714285448</v>
      </c>
      <c r="E61" s="17">
        <f t="shared" si="15"/>
        <v>533234.28571428172</v>
      </c>
      <c r="F61" s="17">
        <f>C18-F18-SUM($E$6:E18)</f>
        <v>920607.73178697284</v>
      </c>
      <c r="G61" s="17">
        <f t="shared" si="11"/>
        <v>3209.4200578255795</v>
      </c>
      <c r="H61" s="17"/>
      <c r="I61" s="12">
        <v>14.6</v>
      </c>
      <c r="J61" s="65">
        <f t="shared" si="18"/>
        <v>0.10909090909090909</v>
      </c>
      <c r="K61" s="43">
        <f t="shared" si="19"/>
        <v>8909.0493506493203</v>
      </c>
      <c r="L61" s="43">
        <f t="shared" si="20"/>
        <v>28931.218181818011</v>
      </c>
      <c r="M61">
        <v>2025</v>
      </c>
      <c r="N61" s="29">
        <v>81666.285714285448</v>
      </c>
      <c r="O61" s="17">
        <f t="shared" si="16"/>
        <v>533234.28571428172</v>
      </c>
      <c r="P61" s="58">
        <f t="shared" si="17"/>
        <v>0</v>
      </c>
      <c r="Q61" s="17">
        <f t="shared" si="12"/>
        <v>533234.28571428172</v>
      </c>
      <c r="R61" s="4">
        <f t="shared" si="21"/>
        <v>81666.285714285448</v>
      </c>
      <c r="S61" s="2"/>
      <c r="T61" s="2"/>
    </row>
    <row r="62" spans="1:20" x14ac:dyDescent="0.25">
      <c r="B62" s="10">
        <v>2026</v>
      </c>
      <c r="C62" s="11">
        <v>1495296.6218874408</v>
      </c>
      <c r="D62" s="56">
        <f t="shared" si="14"/>
        <v>85955.428571427241</v>
      </c>
      <c r="E62" s="17">
        <f t="shared" si="15"/>
        <v>619189.71428570896</v>
      </c>
      <c r="F62" s="17">
        <f>C19-F19-SUM($E$6:E19)</f>
        <v>876106.90760173183</v>
      </c>
      <c r="G62" s="17">
        <f t="shared" si="11"/>
        <v>3016.9885445153573</v>
      </c>
      <c r="H62" s="17"/>
      <c r="I62" s="12">
        <v>14.6</v>
      </c>
      <c r="J62" s="65">
        <f t="shared" si="18"/>
        <v>0.12727272727272726</v>
      </c>
      <c r="K62" s="43">
        <f t="shared" si="19"/>
        <v>10939.781818181647</v>
      </c>
      <c r="L62" s="43">
        <f t="shared" si="20"/>
        <v>39870.999999999658</v>
      </c>
      <c r="M62">
        <v>2026</v>
      </c>
      <c r="N62" s="29">
        <v>85955.428571427241</v>
      </c>
      <c r="O62" s="17">
        <f t="shared" si="16"/>
        <v>619189.71428570896</v>
      </c>
      <c r="P62" s="58">
        <f t="shared" si="17"/>
        <v>0</v>
      </c>
      <c r="Q62" s="17">
        <f t="shared" si="12"/>
        <v>619189.71428570896</v>
      </c>
      <c r="R62" s="4">
        <f t="shared" si="21"/>
        <v>85955.428571427241</v>
      </c>
      <c r="S62" s="2"/>
      <c r="T62" s="2"/>
    </row>
    <row r="63" spans="1:20" x14ac:dyDescent="0.25">
      <c r="B63" s="10">
        <v>2027</v>
      </c>
      <c r="C63" s="11">
        <v>1536770.45903657</v>
      </c>
      <c r="D63" s="56">
        <f t="shared" si="14"/>
        <v>90244.571428570896</v>
      </c>
      <c r="E63" s="17">
        <f t="shared" si="15"/>
        <v>709434.28571427986</v>
      </c>
      <c r="F63" s="17">
        <f>C20-F20-SUM($E$6:E20)</f>
        <v>827336.17332229018</v>
      </c>
      <c r="G63" s="17">
        <f t="shared" si="11"/>
        <v>2823.7634828396313</v>
      </c>
      <c r="H63" s="17"/>
      <c r="I63" s="12">
        <v>14.6</v>
      </c>
      <c r="J63" s="65">
        <f t="shared" si="18"/>
        <v>0.14545454545454545</v>
      </c>
      <c r="K63" s="43">
        <f t="shared" si="19"/>
        <v>13126.483116883039</v>
      </c>
      <c r="L63" s="43">
        <f t="shared" si="20"/>
        <v>52997.483116882693</v>
      </c>
      <c r="M63">
        <v>2027</v>
      </c>
      <c r="N63" s="29">
        <v>90244.571428570896</v>
      </c>
      <c r="O63" s="17">
        <f t="shared" si="16"/>
        <v>709434.28571427986</v>
      </c>
      <c r="P63" s="58">
        <f t="shared" si="17"/>
        <v>0</v>
      </c>
      <c r="Q63" s="17">
        <f t="shared" si="12"/>
        <v>709434.28571427986</v>
      </c>
      <c r="R63" s="4">
        <f t="shared" si="21"/>
        <v>90244.571428570896</v>
      </c>
      <c r="S63" s="2"/>
      <c r="T63" s="2"/>
    </row>
    <row r="64" spans="1:20" x14ac:dyDescent="0.25">
      <c r="B64" s="10">
        <v>2028</v>
      </c>
      <c r="C64" s="11">
        <v>1578233.9588539612</v>
      </c>
      <c r="D64" s="56">
        <f t="shared" si="14"/>
        <v>94533.714285714552</v>
      </c>
      <c r="E64" s="17">
        <f t="shared" si="15"/>
        <v>803967.99999999441</v>
      </c>
      <c r="F64" s="17">
        <f>C21-F21-SUM($E$6:E21)</f>
        <v>774265.95885396679</v>
      </c>
      <c r="G64" s="17">
        <f t="shared" si="11"/>
        <v>2628.8861810769477</v>
      </c>
      <c r="H64" s="17"/>
      <c r="I64" s="12">
        <v>14.6</v>
      </c>
      <c r="J64" s="65">
        <f t="shared" si="18"/>
        <v>0.16363636363636364</v>
      </c>
      <c r="K64" s="43">
        <f t="shared" si="19"/>
        <v>15469.153246753291</v>
      </c>
      <c r="L64" s="43">
        <f t="shared" si="20"/>
        <v>68466.636363635989</v>
      </c>
      <c r="M64">
        <v>2028</v>
      </c>
      <c r="N64" s="29">
        <v>94533.714285714552</v>
      </c>
      <c r="O64" s="17">
        <f t="shared" si="16"/>
        <v>803967.99999999441</v>
      </c>
      <c r="P64" s="58">
        <f t="shared" si="17"/>
        <v>0</v>
      </c>
      <c r="Q64" s="17">
        <f t="shared" si="12"/>
        <v>803967.99999999441</v>
      </c>
      <c r="R64" s="4">
        <f t="shared" si="21"/>
        <v>94533.714285714552</v>
      </c>
      <c r="S64" s="2"/>
      <c r="T64" s="2"/>
    </row>
    <row r="65" spans="1:20" x14ac:dyDescent="0.25">
      <c r="B65" s="10">
        <v>2029</v>
      </c>
      <c r="C65" s="11">
        <v>1619667.6062884759</v>
      </c>
      <c r="D65" s="56">
        <f t="shared" si="14"/>
        <v>98822.857142856345</v>
      </c>
      <c r="E65" s="17">
        <f t="shared" si="15"/>
        <v>902790.85714285076</v>
      </c>
      <c r="F65" s="17">
        <f>C22-F22-SUM($E$6:E22)</f>
        <v>716876.74914562516</v>
      </c>
      <c r="G65" s="17">
        <f t="shared" si="11"/>
        <v>2431.0033800523147</v>
      </c>
      <c r="H65" s="17"/>
      <c r="I65" s="12">
        <v>14.6</v>
      </c>
      <c r="J65" s="65">
        <f t="shared" si="18"/>
        <v>0.1818181818181818</v>
      </c>
      <c r="K65" s="43">
        <f t="shared" si="19"/>
        <v>17967.792207792059</v>
      </c>
      <c r="L65" s="43">
        <f t="shared" si="20"/>
        <v>86434.428571428056</v>
      </c>
      <c r="M65">
        <v>2029</v>
      </c>
      <c r="N65" s="29">
        <v>98822.857142856345</v>
      </c>
      <c r="O65" s="17">
        <f t="shared" si="16"/>
        <v>902790.85714285076</v>
      </c>
      <c r="P65" s="58">
        <f t="shared" si="17"/>
        <v>0</v>
      </c>
      <c r="Q65" s="17">
        <f t="shared" si="12"/>
        <v>902790.85714285076</v>
      </c>
      <c r="R65" s="4">
        <f t="shared" si="21"/>
        <v>98822.857142856345</v>
      </c>
      <c r="S65" s="2"/>
      <c r="T65" s="2"/>
    </row>
    <row r="66" spans="1:20" x14ac:dyDescent="0.25">
      <c r="B66" s="10">
        <v>2030</v>
      </c>
      <c r="C66" s="11">
        <v>1661026.0804002865</v>
      </c>
      <c r="D66" s="56">
        <f t="shared" si="14"/>
        <v>103112</v>
      </c>
      <c r="E66" s="17">
        <f t="shared" si="15"/>
        <v>1005902.8571428508</v>
      </c>
      <c r="F66" s="17">
        <f>C23-F23-SUM($E$6:E23)</f>
        <v>655123.22325743572</v>
      </c>
      <c r="G66" s="17">
        <f t="shared" si="11"/>
        <v>2229.0223114014152</v>
      </c>
      <c r="H66" s="17"/>
      <c r="I66" s="12">
        <v>14.6</v>
      </c>
      <c r="J66" s="65">
        <f t="shared" si="18"/>
        <v>0.2</v>
      </c>
      <c r="K66" s="43">
        <f t="shared" si="19"/>
        <v>20622.400000000001</v>
      </c>
      <c r="L66" s="43">
        <f t="shared" si="20"/>
        <v>107056.82857142805</v>
      </c>
      <c r="M66">
        <v>2030</v>
      </c>
      <c r="N66" s="29">
        <v>103112</v>
      </c>
      <c r="O66" s="17">
        <f t="shared" si="16"/>
        <v>1005902.8571428508</v>
      </c>
      <c r="P66" s="58">
        <f t="shared" si="17"/>
        <v>0</v>
      </c>
      <c r="Q66" s="17">
        <f t="shared" si="12"/>
        <v>1005902.8571428508</v>
      </c>
      <c r="R66" s="4">
        <f>Q66-Q65</f>
        <v>103112</v>
      </c>
      <c r="S66" s="2"/>
      <c r="T66" s="2"/>
    </row>
    <row r="67" spans="1:20" x14ac:dyDescent="0.25">
      <c r="A67">
        <v>1</v>
      </c>
      <c r="B67" s="10">
        <v>2031</v>
      </c>
      <c r="C67" s="43">
        <f>C152</f>
        <v>1699877.2219293118</v>
      </c>
      <c r="D67" s="56">
        <f t="shared" si="14"/>
        <v>107401.14285714179</v>
      </c>
      <c r="E67" s="17">
        <f t="shared" si="15"/>
        <v>1113303.9999999925</v>
      </c>
      <c r="F67" s="17">
        <f>C24-F24-SUM($E$6:E24)</f>
        <v>586573.2219293192</v>
      </c>
      <c r="G67" s="17">
        <f t="shared" ref="G67:G73" si="22">F67*K110/I67</f>
        <v>1995.7845372202291</v>
      </c>
      <c r="H67" s="17"/>
      <c r="I67" s="12">
        <v>14.6</v>
      </c>
      <c r="J67" s="65">
        <f t="shared" si="18"/>
        <v>0.21818181818181817</v>
      </c>
      <c r="K67" s="43">
        <f t="shared" si="19"/>
        <v>23432.976623376391</v>
      </c>
      <c r="L67" s="43">
        <f t="shared" si="20"/>
        <v>130489.80519480444</v>
      </c>
      <c r="M67">
        <v>2031</v>
      </c>
      <c r="N67" s="61">
        <v>107401.14285714179</v>
      </c>
      <c r="O67" s="17">
        <f t="shared" si="16"/>
        <v>1113303.9999999925</v>
      </c>
      <c r="P67" s="58">
        <f t="shared" si="17"/>
        <v>0</v>
      </c>
      <c r="Q67" s="17">
        <f t="shared" si="12"/>
        <v>1113303.9999999925</v>
      </c>
      <c r="R67" s="4">
        <f t="shared" si="21"/>
        <v>107401.14285714179</v>
      </c>
      <c r="S67" s="2"/>
      <c r="T67" s="2"/>
    </row>
    <row r="68" spans="1:20" x14ac:dyDescent="0.25">
      <c r="A68">
        <v>2</v>
      </c>
      <c r="B68" s="10">
        <v>2032</v>
      </c>
      <c r="C68" s="43">
        <f t="shared" ref="C68:C86" si="23">C153</f>
        <v>1739712.7580529451</v>
      </c>
      <c r="D68" s="56">
        <f t="shared" si="14"/>
        <v>111690.28571428545</v>
      </c>
      <c r="E68" s="17">
        <f t="shared" si="15"/>
        <v>1224994.285714278</v>
      </c>
      <c r="F68" s="17">
        <f>C25-F25-SUM($E$6:E25)</f>
        <v>514718.47233866714</v>
      </c>
      <c r="G68" s="17">
        <f t="shared" si="22"/>
        <v>1751.3025308866104</v>
      </c>
      <c r="H68" s="17"/>
      <c r="I68" s="12">
        <v>14.6</v>
      </c>
      <c r="J68" s="65">
        <f t="shared" si="18"/>
        <v>0.23636363636363636</v>
      </c>
      <c r="K68" s="43">
        <f t="shared" si="19"/>
        <v>26399.522077922014</v>
      </c>
      <c r="L68" s="43">
        <f t="shared" si="20"/>
        <v>156889.32727272646</v>
      </c>
      <c r="M68">
        <v>2032</v>
      </c>
      <c r="N68" s="61">
        <v>111690.28571428545</v>
      </c>
      <c r="O68" s="17">
        <f t="shared" si="16"/>
        <v>1224994.285714278</v>
      </c>
      <c r="P68" s="58">
        <f t="shared" si="17"/>
        <v>0</v>
      </c>
      <c r="Q68" s="17">
        <f t="shared" si="12"/>
        <v>1224994.285714278</v>
      </c>
      <c r="R68" s="4">
        <f t="shared" si="21"/>
        <v>111690.28571428545</v>
      </c>
      <c r="S68" s="2"/>
      <c r="T68" s="2"/>
    </row>
    <row r="69" spans="1:20" x14ac:dyDescent="0.25">
      <c r="A69">
        <v>3</v>
      </c>
      <c r="B69" s="10">
        <v>2033</v>
      </c>
      <c r="C69" s="43">
        <f t="shared" si="23"/>
        <v>1779272.0068622828</v>
      </c>
      <c r="D69" s="56">
        <f t="shared" si="14"/>
        <v>115979.42857142724</v>
      </c>
      <c r="E69" s="17">
        <f t="shared" si="15"/>
        <v>1340973.7142857052</v>
      </c>
      <c r="F69" s="17">
        <f>C26-F26-SUM($E$6:E26)</f>
        <v>438298.2925765774</v>
      </c>
      <c r="G69" s="17">
        <f t="shared" si="22"/>
        <v>1491.286888510172</v>
      </c>
      <c r="H69" s="17"/>
      <c r="I69" s="12">
        <v>14.6</v>
      </c>
      <c r="J69" s="65">
        <f t="shared" si="18"/>
        <v>0.25454545454545452</v>
      </c>
      <c r="K69" s="43">
        <f t="shared" si="19"/>
        <v>29522.036363636023</v>
      </c>
      <c r="L69" s="43">
        <f t="shared" si="20"/>
        <v>186411.36363636248</v>
      </c>
      <c r="M69">
        <v>2033</v>
      </c>
      <c r="N69" s="61">
        <v>115979.42857142724</v>
      </c>
      <c r="O69" s="17">
        <f t="shared" si="16"/>
        <v>1340973.7142857052</v>
      </c>
      <c r="P69" s="58">
        <f t="shared" si="17"/>
        <v>0</v>
      </c>
      <c r="Q69" s="17">
        <f t="shared" si="12"/>
        <v>1340973.7142857052</v>
      </c>
      <c r="R69" s="4">
        <f t="shared" si="21"/>
        <v>115979.42857142724</v>
      </c>
      <c r="S69" s="2"/>
      <c r="T69" s="2"/>
    </row>
    <row r="70" spans="1:20" x14ac:dyDescent="0.25">
      <c r="A70">
        <v>4</v>
      </c>
      <c r="B70" s="10">
        <v>2034</v>
      </c>
      <c r="C70" s="43">
        <f t="shared" si="23"/>
        <v>1818554.9683576822</v>
      </c>
      <c r="D70" s="56">
        <f>R70</f>
        <v>120268.5714285709</v>
      </c>
      <c r="E70" s="17">
        <f t="shared" si="15"/>
        <v>1461242.2857142761</v>
      </c>
      <c r="F70" s="17">
        <f>C27-F27-SUM($E$6:E27)</f>
        <v>357312.68264340586</v>
      </c>
      <c r="G70" s="17">
        <f t="shared" si="22"/>
        <v>1215.7376100921254</v>
      </c>
      <c r="H70" s="17"/>
      <c r="I70" s="12">
        <v>14.6</v>
      </c>
      <c r="J70" s="65">
        <f t="shared" si="18"/>
        <v>0.27272727272727271</v>
      </c>
      <c r="K70" s="43">
        <f t="shared" si="19"/>
        <v>32800.519480519331</v>
      </c>
      <c r="L70" s="43">
        <f t="shared" si="20"/>
        <v>219211.88311688183</v>
      </c>
      <c r="M70">
        <v>2034</v>
      </c>
      <c r="N70" s="61">
        <v>120268.5714285709</v>
      </c>
      <c r="O70" s="17">
        <f t="shared" si="16"/>
        <v>1461242.2857142761</v>
      </c>
      <c r="P70" s="58">
        <f t="shared" si="17"/>
        <v>0</v>
      </c>
      <c r="Q70" s="17">
        <f t="shared" si="12"/>
        <v>1461242.2857142761</v>
      </c>
      <c r="R70" s="4">
        <f t="shared" si="21"/>
        <v>120268.5714285709</v>
      </c>
      <c r="S70" s="2"/>
      <c r="T70" s="2"/>
    </row>
    <row r="71" spans="1:20" x14ac:dyDescent="0.25">
      <c r="A71">
        <v>5</v>
      </c>
      <c r="B71" s="10">
        <v>2035</v>
      </c>
      <c r="C71" s="43">
        <f t="shared" si="23"/>
        <v>1857561.6425389051</v>
      </c>
      <c r="D71" s="56">
        <f t="shared" si="14"/>
        <v>124557.71428571455</v>
      </c>
      <c r="E71" s="17">
        <f t="shared" si="15"/>
        <v>1585799.9999999907</v>
      </c>
      <c r="F71" s="17">
        <f>C28-F28-SUM($E$6:E28)</f>
        <v>271761.64253891422</v>
      </c>
      <c r="G71" s="17">
        <f t="shared" si="22"/>
        <v>924.65469563165902</v>
      </c>
      <c r="H71" s="17"/>
      <c r="I71" s="12">
        <v>14.6</v>
      </c>
      <c r="J71" s="65">
        <f t="shared" si="18"/>
        <v>0.29090909090909089</v>
      </c>
      <c r="K71" s="43">
        <f t="shared" si="19"/>
        <v>36234.971428571502</v>
      </c>
      <c r="L71" s="43">
        <f t="shared" si="20"/>
        <v>255446.85454545333</v>
      </c>
      <c r="M71">
        <v>2035</v>
      </c>
      <c r="N71" s="61">
        <v>124557.71428571455</v>
      </c>
      <c r="O71" s="17">
        <f t="shared" si="16"/>
        <v>1585799.9999999907</v>
      </c>
      <c r="P71" s="58">
        <f t="shared" si="17"/>
        <v>0</v>
      </c>
      <c r="Q71" s="17">
        <f t="shared" si="12"/>
        <v>1585799.9999999907</v>
      </c>
      <c r="R71" s="4">
        <f t="shared" si="21"/>
        <v>124557.71428571455</v>
      </c>
      <c r="S71" s="2"/>
      <c r="T71" s="2"/>
    </row>
    <row r="72" spans="1:20" x14ac:dyDescent="0.25">
      <c r="A72">
        <v>6</v>
      </c>
      <c r="B72" s="10">
        <v>2036</v>
      </c>
      <c r="C72" s="43">
        <f t="shared" si="23"/>
        <v>1896292.0294060707</v>
      </c>
      <c r="D72" s="56">
        <f t="shared" si="14"/>
        <v>128846.85714285634</v>
      </c>
      <c r="E72" s="17">
        <f t="shared" si="15"/>
        <v>1714646.857142847</v>
      </c>
      <c r="F72" s="17">
        <f>C29-F29-SUM($E$6:E29)</f>
        <v>181645.1722632235</v>
      </c>
      <c r="G72" s="17">
        <f t="shared" si="22"/>
        <v>618.03814512918518</v>
      </c>
      <c r="H72" s="17"/>
      <c r="I72" s="12">
        <v>14.6</v>
      </c>
      <c r="J72" s="65">
        <f t="shared" si="18"/>
        <v>0.30909090909090908</v>
      </c>
      <c r="K72" s="43">
        <f t="shared" si="19"/>
        <v>39825.392207791963</v>
      </c>
      <c r="L72" s="43">
        <f t="shared" si="20"/>
        <v>295272.2467532453</v>
      </c>
      <c r="M72">
        <v>2036</v>
      </c>
      <c r="N72" s="61">
        <v>128846.85714285634</v>
      </c>
      <c r="O72" s="17">
        <f t="shared" si="16"/>
        <v>1714646.857142847</v>
      </c>
      <c r="P72" s="58">
        <f t="shared" si="17"/>
        <v>0</v>
      </c>
      <c r="Q72" s="17">
        <f t="shared" si="12"/>
        <v>1714646.857142847</v>
      </c>
      <c r="R72" s="4">
        <f t="shared" si="21"/>
        <v>128846.85714285634</v>
      </c>
      <c r="S72" s="2"/>
      <c r="T72" s="2"/>
    </row>
    <row r="73" spans="1:20" x14ac:dyDescent="0.25">
      <c r="A73">
        <v>7</v>
      </c>
      <c r="B73" s="10">
        <v>2037</v>
      </c>
      <c r="C73" s="43">
        <f t="shared" si="23"/>
        <v>1934746.1289587021</v>
      </c>
      <c r="D73" s="56">
        <f t="shared" si="14"/>
        <v>133136</v>
      </c>
      <c r="E73" s="17">
        <f t="shared" si="15"/>
        <v>1847782.857142847</v>
      </c>
      <c r="F73" s="17">
        <f>C30-F30-SUM($E$6:E30)</f>
        <v>86963.271815854823</v>
      </c>
      <c r="G73" s="17">
        <f t="shared" si="22"/>
        <v>295.88795858307424</v>
      </c>
      <c r="H73" s="17"/>
      <c r="I73" s="12">
        <v>14.6</v>
      </c>
      <c r="J73" s="65">
        <f t="shared" si="18"/>
        <v>0.32727272727272727</v>
      </c>
      <c r="K73" s="43">
        <f t="shared" si="19"/>
        <v>43571.781818181815</v>
      </c>
      <c r="L73" s="43">
        <f t="shared" si="20"/>
        <v>338844.0285714271</v>
      </c>
      <c r="M73">
        <v>2037</v>
      </c>
      <c r="N73" s="61">
        <v>133136</v>
      </c>
      <c r="O73" s="17">
        <f t="shared" si="16"/>
        <v>1847782.857142847</v>
      </c>
      <c r="P73" s="58">
        <f t="shared" si="17"/>
        <v>0</v>
      </c>
      <c r="Q73" s="17">
        <f t="shared" si="12"/>
        <v>1847782.857142847</v>
      </c>
      <c r="R73" s="4">
        <f t="shared" si="21"/>
        <v>133136</v>
      </c>
      <c r="S73" s="2"/>
      <c r="T73" s="2"/>
    </row>
    <row r="74" spans="1:20" x14ac:dyDescent="0.25">
      <c r="A74">
        <v>8</v>
      </c>
      <c r="B74" s="10">
        <v>2038</v>
      </c>
      <c r="C74" s="43">
        <f t="shared" si="23"/>
        <v>1972923.9411973953</v>
      </c>
      <c r="D74" s="56">
        <f t="shared" si="14"/>
        <v>125141.08405454829</v>
      </c>
      <c r="E74" s="17">
        <f t="shared" si="15"/>
        <v>1972923.9411973953</v>
      </c>
      <c r="F74" s="17">
        <f>C31-F31-SUM($E$6:E31)</f>
        <v>0</v>
      </c>
      <c r="G74" s="17">
        <f t="shared" ref="G74:G86" si="24">F74*K117/I74</f>
        <v>0</v>
      </c>
      <c r="H74" s="17"/>
      <c r="I74" s="12">
        <v>14.6</v>
      </c>
      <c r="J74" s="65">
        <f t="shared" si="18"/>
        <v>0.34545454545454546</v>
      </c>
      <c r="K74" s="43">
        <f t="shared" si="19"/>
        <v>43230.556309753047</v>
      </c>
      <c r="L74" s="43">
        <f t="shared" si="20"/>
        <v>382074.58488118014</v>
      </c>
      <c r="M74">
        <v>2038</v>
      </c>
      <c r="N74" s="61">
        <v>137425.14285714179</v>
      </c>
      <c r="O74" s="17">
        <f t="shared" si="16"/>
        <v>1985207.9999999888</v>
      </c>
      <c r="P74" s="58">
        <f t="shared" si="17"/>
        <v>1</v>
      </c>
      <c r="Q74" s="17">
        <f t="shared" si="12"/>
        <v>1972923.9411973953</v>
      </c>
      <c r="R74" s="4">
        <f t="shared" si="21"/>
        <v>125141.08405454829</v>
      </c>
      <c r="S74" s="2"/>
      <c r="T74" s="2"/>
    </row>
    <row r="75" spans="1:20" x14ac:dyDescent="0.25">
      <c r="A75">
        <v>9</v>
      </c>
      <c r="B75" s="10">
        <v>2039</v>
      </c>
      <c r="C75" s="43">
        <f t="shared" si="23"/>
        <v>2010825.466121912</v>
      </c>
      <c r="D75" s="56">
        <f t="shared" si="14"/>
        <v>37901.524924516678</v>
      </c>
      <c r="E75" s="17">
        <f t="shared" si="15"/>
        <v>2010825.466121912</v>
      </c>
      <c r="F75" s="17">
        <f>C32-F32-SUM($E$6:E32)</f>
        <v>0</v>
      </c>
      <c r="G75" s="17">
        <f t="shared" si="24"/>
        <v>0</v>
      </c>
      <c r="H75" s="17"/>
      <c r="I75" s="12">
        <v>14.6</v>
      </c>
      <c r="J75" s="65">
        <f t="shared" si="18"/>
        <v>0.36363636363636359</v>
      </c>
      <c r="K75" s="43">
        <f t="shared" si="19"/>
        <v>13782.372699824246</v>
      </c>
      <c r="L75" s="43">
        <f t="shared" si="20"/>
        <v>395856.95758100436</v>
      </c>
      <c r="M75">
        <v>2039</v>
      </c>
      <c r="N75" s="61">
        <v>141714.28571428545</v>
      </c>
      <c r="O75" s="17">
        <f t="shared" si="16"/>
        <v>2126922.2857142743</v>
      </c>
      <c r="P75" s="58">
        <f t="shared" si="17"/>
        <v>1</v>
      </c>
      <c r="Q75" s="17">
        <f t="shared" si="12"/>
        <v>2010825.466121912</v>
      </c>
      <c r="R75" s="4">
        <f t="shared" si="21"/>
        <v>37901.524924516678</v>
      </c>
      <c r="S75" s="2"/>
      <c r="T75" s="2"/>
    </row>
    <row r="76" spans="1:20" x14ac:dyDescent="0.25">
      <c r="A76">
        <v>10</v>
      </c>
      <c r="B76" s="10">
        <v>2040</v>
      </c>
      <c r="C76" s="43">
        <f t="shared" si="23"/>
        <v>2048450.7037320137</v>
      </c>
      <c r="D76" s="56">
        <f t="shared" si="14"/>
        <v>37625.2376101017</v>
      </c>
      <c r="E76" s="17">
        <f t="shared" si="15"/>
        <v>2048450.7037320137</v>
      </c>
      <c r="F76" s="17">
        <f>C33-F33-SUM($E$6:E33)</f>
        <v>0</v>
      </c>
      <c r="G76" s="17">
        <f t="shared" si="24"/>
        <v>0</v>
      </c>
      <c r="H76" s="17"/>
      <c r="I76" s="12">
        <v>14.6</v>
      </c>
      <c r="J76" s="65">
        <f t="shared" si="18"/>
        <v>0.38181818181818178</v>
      </c>
      <c r="K76" s="43">
        <f t="shared" si="19"/>
        <v>14365.999814766103</v>
      </c>
      <c r="L76" s="43">
        <f t="shared" si="20"/>
        <v>410222.95739577047</v>
      </c>
      <c r="M76">
        <v>2040</v>
      </c>
      <c r="N76" s="61">
        <v>146003.42857142724</v>
      </c>
      <c r="O76" s="17">
        <f t="shared" si="16"/>
        <v>2272925.7142857015</v>
      </c>
      <c r="P76" s="58">
        <f t="shared" si="17"/>
        <v>1</v>
      </c>
      <c r="Q76" s="17">
        <f t="shared" si="12"/>
        <v>2048450.7037320137</v>
      </c>
      <c r="R76" s="4">
        <f t="shared" si="21"/>
        <v>37625.2376101017</v>
      </c>
      <c r="S76" s="2"/>
      <c r="T76" s="2"/>
    </row>
    <row r="77" spans="1:20" x14ac:dyDescent="0.25">
      <c r="A77">
        <v>11</v>
      </c>
      <c r="B77" s="10">
        <v>2041</v>
      </c>
      <c r="C77" s="43">
        <f t="shared" si="23"/>
        <v>2085799.6540281773</v>
      </c>
      <c r="D77" s="56">
        <f t="shared" si="14"/>
        <v>37348.950296163559</v>
      </c>
      <c r="E77" s="17">
        <f t="shared" si="15"/>
        <v>2085799.6540281773</v>
      </c>
      <c r="F77" s="17">
        <f>C34-F34-SUM($E$6:E34)</f>
        <v>0</v>
      </c>
      <c r="G77" s="17">
        <f t="shared" si="24"/>
        <v>0</v>
      </c>
      <c r="H77" s="17"/>
      <c r="I77" s="12">
        <v>14.6</v>
      </c>
      <c r="J77" s="65">
        <f t="shared" si="18"/>
        <v>0.4</v>
      </c>
      <c r="K77" s="43">
        <f t="shared" si="19"/>
        <v>14939.580118465425</v>
      </c>
      <c r="L77" s="43">
        <f t="shared" si="20"/>
        <v>425162.53751423588</v>
      </c>
      <c r="M77">
        <v>2041</v>
      </c>
      <c r="N77" s="61">
        <v>150292.5714285709</v>
      </c>
      <c r="O77" s="17">
        <f t="shared" si="16"/>
        <v>2423218.2857142724</v>
      </c>
      <c r="P77" s="58">
        <f t="shared" si="17"/>
        <v>1</v>
      </c>
      <c r="Q77" s="17">
        <f t="shared" si="12"/>
        <v>2085799.6540281773</v>
      </c>
      <c r="R77" s="4">
        <f t="shared" si="21"/>
        <v>37348.950296163559</v>
      </c>
      <c r="S77" s="2"/>
      <c r="T77" s="2"/>
    </row>
    <row r="78" spans="1:20" x14ac:dyDescent="0.25">
      <c r="A78">
        <v>12</v>
      </c>
      <c r="B78" s="10">
        <v>2042</v>
      </c>
      <c r="C78" s="43">
        <f t="shared" si="23"/>
        <v>2122872.3170102835</v>
      </c>
      <c r="D78" s="56">
        <f t="shared" si="14"/>
        <v>37072.662982106209</v>
      </c>
      <c r="E78" s="17">
        <f t="shared" si="15"/>
        <v>2122872.3170102835</v>
      </c>
      <c r="F78" s="17">
        <f>C35-F35-SUM($E$6:E35)</f>
        <v>0</v>
      </c>
      <c r="G78" s="17">
        <f t="shared" si="24"/>
        <v>0</v>
      </c>
      <c r="H78" s="17"/>
      <c r="I78" s="12">
        <v>14.6</v>
      </c>
      <c r="J78" s="65">
        <f t="shared" si="18"/>
        <v>0.41818181818181821</v>
      </c>
      <c r="K78" s="43">
        <f t="shared" si="19"/>
        <v>15503.113610698962</v>
      </c>
      <c r="L78" s="43">
        <f t="shared" si="20"/>
        <v>440665.65112493484</v>
      </c>
      <c r="M78">
        <v>2042</v>
      </c>
      <c r="N78" s="61">
        <v>154581.71428571455</v>
      </c>
      <c r="O78" s="17">
        <f t="shared" si="16"/>
        <v>2577799.999999987</v>
      </c>
      <c r="P78" s="58">
        <f t="shared" si="17"/>
        <v>1</v>
      </c>
      <c r="Q78" s="17">
        <f t="shared" si="12"/>
        <v>2122872.3170102835</v>
      </c>
      <c r="R78" s="4">
        <f t="shared" si="21"/>
        <v>37072.662982106209</v>
      </c>
      <c r="S78" s="2"/>
      <c r="T78" s="2"/>
    </row>
    <row r="79" spans="1:20" x14ac:dyDescent="0.25">
      <c r="A79">
        <v>13</v>
      </c>
      <c r="B79" s="10">
        <v>2043</v>
      </c>
      <c r="C79" s="43">
        <f t="shared" si="23"/>
        <v>2159668.6926778555</v>
      </c>
      <c r="D79" s="56">
        <f t="shared" si="14"/>
        <v>36796.375667572021</v>
      </c>
      <c r="E79" s="17">
        <f t="shared" si="15"/>
        <v>2159668.6926778555</v>
      </c>
      <c r="F79" s="17">
        <f>C36-F36-SUM($E$6:E36)</f>
        <v>0</v>
      </c>
      <c r="G79" s="17">
        <f t="shared" si="24"/>
        <v>0</v>
      </c>
      <c r="H79" s="17"/>
      <c r="I79" s="12">
        <v>14.6</v>
      </c>
      <c r="J79" s="65">
        <f t="shared" si="18"/>
        <v>0.43636363636363634</v>
      </c>
      <c r="K79" s="43">
        <f t="shared" si="19"/>
        <v>16056.600291304154</v>
      </c>
      <c r="L79" s="43">
        <f t="shared" si="20"/>
        <v>456722.25141623901</v>
      </c>
      <c r="M79">
        <v>2043</v>
      </c>
      <c r="N79" s="61">
        <v>158870.85714285634</v>
      </c>
      <c r="O79" s="17">
        <f t="shared" si="16"/>
        <v>2736670.8571428433</v>
      </c>
      <c r="P79" s="58">
        <f t="shared" si="17"/>
        <v>1</v>
      </c>
      <c r="Q79" s="17">
        <f t="shared" si="12"/>
        <v>2159668.6926778555</v>
      </c>
      <c r="R79" s="4">
        <f t="shared" si="21"/>
        <v>36796.375667572021</v>
      </c>
      <c r="S79" s="2"/>
      <c r="T79" s="2"/>
    </row>
    <row r="80" spans="1:20" x14ac:dyDescent="0.25">
      <c r="A80">
        <v>14</v>
      </c>
      <c r="B80" s="10">
        <v>2044</v>
      </c>
      <c r="C80" s="43">
        <f t="shared" si="23"/>
        <v>2196188.7810314894</v>
      </c>
      <c r="D80" s="56">
        <f t="shared" si="14"/>
        <v>36520.088353633881</v>
      </c>
      <c r="E80" s="17">
        <f t="shared" si="15"/>
        <v>2196188.7810314894</v>
      </c>
      <c r="F80" s="17">
        <f>C37-F37-SUM($E$6:E37)</f>
        <v>0</v>
      </c>
      <c r="G80" s="17">
        <f t="shared" si="24"/>
        <v>0</v>
      </c>
      <c r="H80" s="17"/>
      <c r="I80" s="12">
        <v>14.6</v>
      </c>
      <c r="J80" s="65">
        <f t="shared" si="18"/>
        <v>0.45454545454545453</v>
      </c>
      <c r="K80" s="43">
        <f t="shared" si="19"/>
        <v>16600.040160742672</v>
      </c>
      <c r="L80" s="43">
        <f t="shared" si="20"/>
        <v>473322.29157698166</v>
      </c>
      <c r="M80">
        <v>2044</v>
      </c>
      <c r="N80" s="61">
        <v>163160</v>
      </c>
      <c r="O80" s="17">
        <f t="shared" si="16"/>
        <v>2899830.8571428433</v>
      </c>
      <c r="P80" s="58">
        <f t="shared" si="17"/>
        <v>1</v>
      </c>
      <c r="Q80" s="17">
        <f t="shared" si="12"/>
        <v>2196188.7810314894</v>
      </c>
      <c r="R80" s="4">
        <f t="shared" si="21"/>
        <v>36520.088353633881</v>
      </c>
      <c r="S80" s="2"/>
      <c r="T80" s="2"/>
    </row>
    <row r="81" spans="1:20" x14ac:dyDescent="0.25">
      <c r="A81">
        <v>15</v>
      </c>
      <c r="B81" s="10">
        <v>2045</v>
      </c>
      <c r="C81" s="43">
        <f t="shared" si="23"/>
        <v>2232432.5820710659</v>
      </c>
      <c r="D81" s="56">
        <f t="shared" si="14"/>
        <v>36243.80103957653</v>
      </c>
      <c r="E81" s="17">
        <f t="shared" si="15"/>
        <v>2232432.5820710659</v>
      </c>
      <c r="F81" s="17">
        <f>C38-F38-SUM($E$6:E38)</f>
        <v>0</v>
      </c>
      <c r="G81" s="17">
        <f t="shared" si="24"/>
        <v>0</v>
      </c>
      <c r="H81" s="17"/>
      <c r="I81" s="12">
        <v>14.6</v>
      </c>
      <c r="J81" s="65">
        <f t="shared" si="18"/>
        <v>0.47272727272727272</v>
      </c>
      <c r="K81" s="43">
        <f t="shared" si="19"/>
        <v>17133.433218708906</v>
      </c>
      <c r="L81" s="43">
        <f t="shared" si="20"/>
        <v>490455.72479569056</v>
      </c>
      <c r="M81">
        <v>2045</v>
      </c>
      <c r="N81" s="61">
        <v>167449.14285714179</v>
      </c>
      <c r="O81" s="17">
        <f t="shared" si="16"/>
        <v>3067279.9999999851</v>
      </c>
      <c r="P81" s="58">
        <f t="shared" si="17"/>
        <v>1</v>
      </c>
      <c r="Q81" s="17">
        <f t="shared" si="12"/>
        <v>2232432.5820710659</v>
      </c>
      <c r="R81" s="4">
        <f t="shared" si="21"/>
        <v>36243.80103957653</v>
      </c>
      <c r="S81" s="2"/>
      <c r="T81" s="2"/>
    </row>
    <row r="82" spans="1:20" x14ac:dyDescent="0.25">
      <c r="A82">
        <v>16</v>
      </c>
      <c r="B82" s="10">
        <v>2046</v>
      </c>
      <c r="C82" s="43">
        <f t="shared" si="23"/>
        <v>2268400.0957963467</v>
      </c>
      <c r="D82" s="56">
        <f t="shared" si="14"/>
        <v>35967.513725280762</v>
      </c>
      <c r="E82" s="17">
        <f t="shared" si="15"/>
        <v>2268400.0957963467</v>
      </c>
      <c r="F82" s="17">
        <f>C39-F39-SUM($E$6:E39)</f>
        <v>0</v>
      </c>
      <c r="G82" s="17">
        <f t="shared" si="24"/>
        <v>0</v>
      </c>
      <c r="H82" s="17"/>
      <c r="I82" s="12">
        <v>14.6</v>
      </c>
      <c r="J82" s="65">
        <f t="shared" si="18"/>
        <v>0.49090909090909085</v>
      </c>
      <c r="K82" s="43">
        <f t="shared" si="19"/>
        <v>17656.779465137828</v>
      </c>
      <c r="L82" s="43">
        <f t="shared" si="20"/>
        <v>508112.50426082837</v>
      </c>
      <c r="M82">
        <v>2046</v>
      </c>
      <c r="N82" s="61">
        <v>171738.28571428545</v>
      </c>
      <c r="O82" s="17">
        <f t="shared" si="16"/>
        <v>3239018.2857142705</v>
      </c>
      <c r="P82" s="58">
        <f t="shared" si="17"/>
        <v>1</v>
      </c>
      <c r="Q82" s="17">
        <f t="shared" si="12"/>
        <v>2268400.0957963467</v>
      </c>
      <c r="R82" s="4">
        <f t="shared" si="21"/>
        <v>35967.513725280762</v>
      </c>
      <c r="S82" s="2"/>
      <c r="T82" s="2"/>
    </row>
    <row r="83" spans="1:20" x14ac:dyDescent="0.25">
      <c r="A83">
        <v>17</v>
      </c>
      <c r="B83" s="10">
        <v>2047</v>
      </c>
      <c r="C83" s="43">
        <f t="shared" si="23"/>
        <v>2304091.3222073317</v>
      </c>
      <c r="D83" s="56">
        <f t="shared" si="14"/>
        <v>35691.226410984993</v>
      </c>
      <c r="E83" s="17">
        <f t="shared" si="15"/>
        <v>2304091.3222073317</v>
      </c>
      <c r="F83" s="17">
        <f>C40-F40-SUM($E$6:E40)</f>
        <v>0</v>
      </c>
      <c r="G83" s="17">
        <f t="shared" si="24"/>
        <v>0</v>
      </c>
      <c r="H83" s="17"/>
      <c r="I83" s="12">
        <v>14.6</v>
      </c>
      <c r="J83" s="65">
        <f t="shared" si="18"/>
        <v>0.50909090909090904</v>
      </c>
      <c r="K83" s="43">
        <f t="shared" si="19"/>
        <v>18170.078900137814</v>
      </c>
      <c r="L83" s="43">
        <f t="shared" si="20"/>
        <v>526282.58316096617</v>
      </c>
      <c r="M83">
        <v>2047</v>
      </c>
      <c r="N83" s="61">
        <v>176027.42857142724</v>
      </c>
      <c r="O83" s="17">
        <f t="shared" si="16"/>
        <v>3415045.7142856978</v>
      </c>
      <c r="P83" s="58">
        <f t="shared" si="17"/>
        <v>1</v>
      </c>
      <c r="Q83" s="17">
        <f t="shared" si="12"/>
        <v>2304091.3222073317</v>
      </c>
      <c r="R83" s="4">
        <f t="shared" si="21"/>
        <v>35691.226410984993</v>
      </c>
      <c r="S83" s="2"/>
      <c r="T83" s="2"/>
    </row>
    <row r="84" spans="1:20" x14ac:dyDescent="0.25">
      <c r="A84">
        <v>18</v>
      </c>
      <c r="B84" s="10">
        <v>2048</v>
      </c>
      <c r="C84" s="43">
        <f t="shared" si="23"/>
        <v>2339506.2613042593</v>
      </c>
      <c r="D84" s="56">
        <f t="shared" si="14"/>
        <v>35414.939096927643</v>
      </c>
      <c r="E84" s="17">
        <f t="shared" si="15"/>
        <v>2339506.2613042593</v>
      </c>
      <c r="F84" s="17">
        <f>C41-F41-SUM($E$6:E41)</f>
        <v>0</v>
      </c>
      <c r="G84" s="17">
        <f t="shared" si="24"/>
        <v>0</v>
      </c>
      <c r="H84" s="17"/>
      <c r="I84" s="12">
        <v>14.6</v>
      </c>
      <c r="J84" s="65">
        <f t="shared" si="18"/>
        <v>0.52727272727272723</v>
      </c>
      <c r="K84" s="43">
        <f t="shared" si="19"/>
        <v>18673.331523834575</v>
      </c>
      <c r="L84" s="43">
        <f t="shared" si="20"/>
        <v>544955.91468480078</v>
      </c>
      <c r="M84">
        <v>2048</v>
      </c>
      <c r="N84" s="61">
        <v>180316.5714285709</v>
      </c>
      <c r="O84" s="17">
        <f t="shared" si="16"/>
        <v>3595362.2857142687</v>
      </c>
      <c r="P84" s="58">
        <f t="shared" si="17"/>
        <v>1</v>
      </c>
      <c r="Q84" s="17">
        <f t="shared" si="12"/>
        <v>2339506.2613042593</v>
      </c>
      <c r="R84" s="4">
        <f t="shared" si="21"/>
        <v>35414.939096927643</v>
      </c>
      <c r="S84" s="2"/>
      <c r="T84" s="2"/>
    </row>
    <row r="85" spans="1:20" x14ac:dyDescent="0.25">
      <c r="A85">
        <v>19</v>
      </c>
      <c r="B85" s="10">
        <v>2049</v>
      </c>
      <c r="C85" s="43">
        <f t="shared" si="23"/>
        <v>2374644.9130871296</v>
      </c>
      <c r="D85" s="56">
        <f t="shared" si="14"/>
        <v>35138.651782870293</v>
      </c>
      <c r="E85" s="17">
        <f t="shared" si="15"/>
        <v>2374644.9130871296</v>
      </c>
      <c r="F85" s="17">
        <f>C42-F42-SUM($E$6:E42)</f>
        <v>0</v>
      </c>
      <c r="G85" s="17">
        <f t="shared" si="24"/>
        <v>0</v>
      </c>
      <c r="H85" s="17"/>
      <c r="I85" s="12">
        <v>14.6</v>
      </c>
      <c r="J85" s="65">
        <f t="shared" si="18"/>
        <v>0.54545454545454541</v>
      </c>
      <c r="K85" s="43">
        <f t="shared" si="19"/>
        <v>19166.537336111069</v>
      </c>
      <c r="L85" s="43">
        <f t="shared" si="20"/>
        <v>564122.45202091185</v>
      </c>
      <c r="M85">
        <v>2049</v>
      </c>
      <c r="N85" s="61">
        <v>184605.71428571455</v>
      </c>
      <c r="O85" s="17">
        <f t="shared" si="16"/>
        <v>3779967.9999999832</v>
      </c>
      <c r="P85" s="58">
        <f t="shared" si="17"/>
        <v>1</v>
      </c>
      <c r="Q85" s="17">
        <f t="shared" si="12"/>
        <v>2374644.9130871296</v>
      </c>
      <c r="R85" s="4">
        <f t="shared" si="21"/>
        <v>35138.651782870293</v>
      </c>
      <c r="S85" s="2"/>
      <c r="T85" s="2"/>
    </row>
    <row r="86" spans="1:20" x14ac:dyDescent="0.25">
      <c r="A86">
        <v>20</v>
      </c>
      <c r="B86" s="10">
        <v>2050</v>
      </c>
      <c r="C86" s="43">
        <f t="shared" si="23"/>
        <v>2409507.2775554657</v>
      </c>
      <c r="D86" s="56">
        <f t="shared" si="14"/>
        <v>34862.364468336105</v>
      </c>
      <c r="E86" s="17">
        <f t="shared" si="15"/>
        <v>2409507.2775554657</v>
      </c>
      <c r="F86" s="17">
        <f>C43-F43-SUM($E$6:E43)</f>
        <v>0</v>
      </c>
      <c r="G86" s="17">
        <f t="shared" si="24"/>
        <v>0</v>
      </c>
      <c r="H86" s="17"/>
      <c r="I86" s="12">
        <v>14.6</v>
      </c>
      <c r="J86" s="65">
        <f t="shared" si="18"/>
        <v>0.5636363636363636</v>
      </c>
      <c r="K86" s="43">
        <f t="shared" si="19"/>
        <v>19649.696336698529</v>
      </c>
      <c r="L86" s="43">
        <f t="shared" si="20"/>
        <v>583772.14835761033</v>
      </c>
      <c r="M86">
        <v>2050</v>
      </c>
      <c r="N86" s="61">
        <v>188894.85714285634</v>
      </c>
      <c r="O86" s="17">
        <f t="shared" si="16"/>
        <v>3968862.8571428396</v>
      </c>
      <c r="P86" s="58">
        <f t="shared" si="17"/>
        <v>1</v>
      </c>
      <c r="Q86" s="17">
        <f t="shared" si="12"/>
        <v>2409507.2775554657</v>
      </c>
      <c r="R86" s="4">
        <f t="shared" si="21"/>
        <v>34862.364468336105</v>
      </c>
      <c r="S86" s="2"/>
      <c r="T86" s="2"/>
    </row>
    <row r="87" spans="1:20" x14ac:dyDescent="0.25">
      <c r="B87" t="s">
        <v>23</v>
      </c>
      <c r="C87" t="s">
        <v>24</v>
      </c>
      <c r="D87" t="s">
        <v>25</v>
      </c>
      <c r="E87" t="s">
        <v>27</v>
      </c>
      <c r="N87" t="s">
        <v>56</v>
      </c>
      <c r="O87" s="2"/>
      <c r="P87" t="s">
        <v>67</v>
      </c>
      <c r="R87" s="2" t="s">
        <v>68</v>
      </c>
      <c r="S87" s="2"/>
    </row>
    <row r="88" spans="1:20" x14ac:dyDescent="0.25">
      <c r="B88" t="s">
        <v>31</v>
      </c>
      <c r="C88" t="s">
        <v>66</v>
      </c>
    </row>
    <row r="90" spans="1:20" x14ac:dyDescent="0.25">
      <c r="B90" s="68" t="s">
        <v>13</v>
      </c>
      <c r="C90" s="68"/>
      <c r="D90" s="68"/>
      <c r="E90" s="68"/>
      <c r="F90" s="68"/>
      <c r="G90" s="68"/>
      <c r="H90" s="68"/>
      <c r="I90" s="68"/>
      <c r="J90" s="68"/>
      <c r="K90" s="68"/>
      <c r="L90" s="51"/>
    </row>
    <row r="91" spans="1:20" ht="54" x14ac:dyDescent="0.25">
      <c r="B91" s="9" t="s">
        <v>0</v>
      </c>
      <c r="C91" s="19" t="s">
        <v>30</v>
      </c>
      <c r="D91" s="9" t="s">
        <v>1</v>
      </c>
      <c r="E91" s="16" t="s">
        <v>6</v>
      </c>
      <c r="F91" s="16" t="s">
        <v>19</v>
      </c>
      <c r="G91" s="9" t="s">
        <v>14</v>
      </c>
      <c r="H91" s="9" t="s">
        <v>15</v>
      </c>
      <c r="I91" s="16" t="s">
        <v>18</v>
      </c>
      <c r="J91" s="16" t="s">
        <v>16</v>
      </c>
      <c r="K91" s="16" t="s">
        <v>12</v>
      </c>
      <c r="L91" s="52"/>
    </row>
    <row r="92" spans="1:20" x14ac:dyDescent="0.25">
      <c r="B92" s="10">
        <v>2013</v>
      </c>
      <c r="C92" s="11">
        <v>4488.9048500498293</v>
      </c>
      <c r="D92" s="11">
        <v>1073183.6651212492</v>
      </c>
      <c r="E92" s="17">
        <f t="shared" ref="E92:E109" si="25">F49</f>
        <v>1073183.6651212492</v>
      </c>
      <c r="F92" s="17"/>
      <c r="G92" s="21">
        <v>14.6</v>
      </c>
      <c r="H92" s="21"/>
      <c r="I92" s="17"/>
      <c r="J92" s="17"/>
      <c r="K92" s="31">
        <v>6.1068774097789651E-2</v>
      </c>
      <c r="L92" s="53"/>
    </row>
    <row r="93" spans="1:20" x14ac:dyDescent="0.25">
      <c r="B93" s="10">
        <v>2014</v>
      </c>
      <c r="C93" s="11">
        <v>4409.1759291458902</v>
      </c>
      <c r="D93" s="11">
        <v>976651.16433813574</v>
      </c>
      <c r="E93" s="17">
        <f t="shared" si="25"/>
        <v>976651.16433813574</v>
      </c>
      <c r="F93" s="17"/>
      <c r="G93" s="21">
        <v>14.6</v>
      </c>
      <c r="H93" s="21"/>
      <c r="I93" s="17"/>
      <c r="J93" s="17"/>
      <c r="K93" s="31">
        <v>6.5912959423086767E-2</v>
      </c>
      <c r="L93" s="53"/>
    </row>
    <row r="94" spans="1:20" x14ac:dyDescent="0.25">
      <c r="B94" s="10">
        <v>2015</v>
      </c>
      <c r="C94" s="11">
        <v>4697.8044143992256</v>
      </c>
      <c r="D94" s="11">
        <v>1019571.4085290028</v>
      </c>
      <c r="E94" s="17">
        <f t="shared" si="25"/>
        <v>1019571.4085290028</v>
      </c>
      <c r="F94" s="17"/>
      <c r="G94" s="21">
        <v>14.6</v>
      </c>
      <c r="H94" s="21"/>
      <c r="I94" s="17"/>
      <c r="J94" s="17"/>
      <c r="K94" s="31">
        <v>6.7271349389038532E-2</v>
      </c>
      <c r="L94" s="53"/>
    </row>
    <row r="95" spans="1:20" x14ac:dyDescent="0.25">
      <c r="B95" s="10">
        <v>2016</v>
      </c>
      <c r="C95" s="11">
        <v>4861.015568828896</v>
      </c>
      <c r="D95" s="11">
        <v>1117970.6924468274</v>
      </c>
      <c r="E95" s="17">
        <f t="shared" si="25"/>
        <v>1117970.6924468274</v>
      </c>
      <c r="F95" s="17"/>
      <c r="G95" s="21">
        <v>14.6</v>
      </c>
      <c r="H95" s="21"/>
      <c r="I95" s="17"/>
      <c r="J95" s="17"/>
      <c r="K95" s="31">
        <v>6.3481831665526761E-2</v>
      </c>
      <c r="L95" s="53"/>
    </row>
    <row r="96" spans="1:20" x14ac:dyDescent="0.25">
      <c r="B96" s="10">
        <v>2017</v>
      </c>
      <c r="C96" s="11">
        <v>4774.6817019902828</v>
      </c>
      <c r="D96" s="11">
        <v>1053030.9082251894</v>
      </c>
      <c r="E96" s="17">
        <f t="shared" si="25"/>
        <v>1053030.9082251894</v>
      </c>
      <c r="F96" s="17"/>
      <c r="G96" s="21">
        <v>14.6</v>
      </c>
      <c r="H96" s="21">
        <v>14.6</v>
      </c>
      <c r="I96" s="17">
        <f>F96*K96/H96</f>
        <v>0</v>
      </c>
      <c r="J96" s="17"/>
      <c r="K96" s="31">
        <v>6.6199721493977889E-2</v>
      </c>
      <c r="L96" s="53"/>
    </row>
    <row r="97" spans="1:16" x14ac:dyDescent="0.25">
      <c r="A97" s="3" t="s">
        <v>3</v>
      </c>
      <c r="B97" s="10">
        <v>2018</v>
      </c>
      <c r="C97" s="11">
        <v>4784.7519434793039</v>
      </c>
      <c r="D97" s="11">
        <v>1166385.7116395417</v>
      </c>
      <c r="E97" s="17">
        <f t="shared" si="25"/>
        <v>1114743.4259252562</v>
      </c>
      <c r="F97" s="17">
        <f t="shared" ref="F97:F109" si="26">D11</f>
        <v>51443.285714285448</v>
      </c>
      <c r="G97" s="21">
        <v>14.6</v>
      </c>
      <c r="H97" s="21">
        <v>16.155472</v>
      </c>
      <c r="I97" s="17">
        <f t="shared" ref="I97:I109" si="27">F97*K97/H97</f>
        <v>190.7124919777599</v>
      </c>
      <c r="J97" s="20">
        <f>J96+I96</f>
        <v>0</v>
      </c>
      <c r="K97" s="22">
        <v>5.9892176042350614E-2</v>
      </c>
      <c r="L97" s="35"/>
      <c r="M97" s="2">
        <f t="shared" ref="M97:M105" si="28">E97*K97/G97</f>
        <v>4572.9047607923612</v>
      </c>
      <c r="N97" s="2">
        <f t="shared" ref="N97:N105" si="29">F97*K97/H97</f>
        <v>190.7124919777599</v>
      </c>
      <c r="O97" s="2">
        <f>M97+SUM($N$97:N97)</f>
        <v>4763.617252770121</v>
      </c>
      <c r="P97" s="2">
        <f>O97-M97</f>
        <v>190.71249197775978</v>
      </c>
    </row>
    <row r="98" spans="1:16" x14ac:dyDescent="0.25">
      <c r="B98" s="10">
        <v>2019</v>
      </c>
      <c r="C98" s="11">
        <v>4809.2963508437269</v>
      </c>
      <c r="D98" s="11">
        <v>1206991.5861911501</v>
      </c>
      <c r="E98" s="17">
        <f t="shared" si="25"/>
        <v>1099417.8719054374</v>
      </c>
      <c r="F98" s="17">
        <f t="shared" si="26"/>
        <v>55651.428571427241</v>
      </c>
      <c r="G98" s="21">
        <v>14.6</v>
      </c>
      <c r="H98" s="21">
        <v>16.750673599999999</v>
      </c>
      <c r="I98" s="17">
        <f t="shared" si="27"/>
        <v>193.01920707600496</v>
      </c>
      <c r="J98" s="20">
        <f t="shared" ref="J98:J109" si="30">J97+I97</f>
        <v>190.7124919777599</v>
      </c>
      <c r="K98" s="22">
        <v>5.8097371788241418E-2</v>
      </c>
      <c r="L98" s="35"/>
      <c r="M98" s="2">
        <f t="shared" si="28"/>
        <v>4374.8827982689982</v>
      </c>
      <c r="N98" s="2">
        <f t="shared" si="29"/>
        <v>193.01920707600496</v>
      </c>
      <c r="O98" s="2">
        <f>M98+SUM($N$97:N98)</f>
        <v>4758.6144973227629</v>
      </c>
      <c r="P98" s="2">
        <f t="shared" ref="P98:P109" si="31">O98-M98</f>
        <v>383.73169905376471</v>
      </c>
    </row>
    <row r="99" spans="1:16" s="14" customFormat="1" x14ac:dyDescent="0.25">
      <c r="B99" s="10">
        <v>2020</v>
      </c>
      <c r="C99" s="11">
        <v>4845.536453345142</v>
      </c>
      <c r="D99" s="11">
        <v>1247784.1313553418</v>
      </c>
      <c r="E99" s="17">
        <f t="shared" si="25"/>
        <v>1079989.8456410584</v>
      </c>
      <c r="F99" s="17">
        <f t="shared" si="26"/>
        <v>59125.651948051425</v>
      </c>
      <c r="G99" s="21">
        <v>14.6</v>
      </c>
      <c r="H99" s="21">
        <v>17.3883896</v>
      </c>
      <c r="I99" s="17">
        <f t="shared" si="27"/>
        <v>192.05852518643152</v>
      </c>
      <c r="J99" s="20">
        <f t="shared" si="30"/>
        <v>383.73169905376483</v>
      </c>
      <c r="K99" s="22">
        <v>5.6482902968702828E-2</v>
      </c>
      <c r="L99" s="35"/>
      <c r="M99" s="8">
        <f t="shared" si="28"/>
        <v>4178.1480588033046</v>
      </c>
      <c r="N99" s="8">
        <f t="shared" si="29"/>
        <v>192.05852518643152</v>
      </c>
      <c r="O99" s="8">
        <f>M99+SUM($N$97:N99)</f>
        <v>4753.9382830435006</v>
      </c>
      <c r="P99" s="8">
        <f t="shared" si="31"/>
        <v>575.79022424019604</v>
      </c>
    </row>
    <row r="100" spans="1:16" x14ac:dyDescent="0.25">
      <c r="B100" s="10">
        <v>2021</v>
      </c>
      <c r="C100" s="11">
        <v>4893.1151305214926</v>
      </c>
      <c r="D100" s="11">
        <v>1288748.2711188961</v>
      </c>
      <c r="E100" s="17">
        <f t="shared" si="25"/>
        <v>1056444.2711188979</v>
      </c>
      <c r="F100" s="17">
        <f t="shared" si="26"/>
        <v>62163.906493506751</v>
      </c>
      <c r="G100" s="21">
        <v>14.6</v>
      </c>
      <c r="H100" s="21">
        <v>18.153648800000003</v>
      </c>
      <c r="I100" s="17">
        <f t="shared" si="27"/>
        <v>188.46940035068351</v>
      </c>
      <c r="J100" s="20">
        <f t="shared" si="30"/>
        <v>575.79022424019638</v>
      </c>
      <c r="K100" s="22">
        <v>5.5038486100777537E-2</v>
      </c>
      <c r="L100" s="35"/>
      <c r="M100" s="2">
        <f t="shared" si="28"/>
        <v>3982.5406391933921</v>
      </c>
      <c r="N100" s="2">
        <f t="shared" si="29"/>
        <v>188.46940035068351</v>
      </c>
      <c r="O100" s="2">
        <f>M100+SUM($N$97:N100)</f>
        <v>4746.8002637842719</v>
      </c>
      <c r="P100" s="2">
        <f t="shared" si="31"/>
        <v>764.25962459087987</v>
      </c>
    </row>
    <row r="101" spans="1:16" x14ac:dyDescent="0.25">
      <c r="B101" s="10">
        <v>2022</v>
      </c>
      <c r="C101" s="11">
        <v>4952.0423023853336</v>
      </c>
      <c r="D101" s="11">
        <v>1329857.3224403893</v>
      </c>
      <c r="E101" s="17">
        <f t="shared" si="25"/>
        <v>1028754.4652975349</v>
      </c>
      <c r="F101" s="17">
        <f t="shared" si="26"/>
        <v>65046.19220779145</v>
      </c>
      <c r="G101" s="21">
        <v>14.6</v>
      </c>
      <c r="H101" s="21">
        <v>19.003936800000002</v>
      </c>
      <c r="I101" s="17">
        <f t="shared" si="27"/>
        <v>184.01136707244177</v>
      </c>
      <c r="J101" s="20">
        <f t="shared" si="30"/>
        <v>764.25962459087987</v>
      </c>
      <c r="K101" s="22">
        <v>5.3760877795201813E-2</v>
      </c>
      <c r="L101" s="35"/>
      <c r="M101" s="2">
        <f t="shared" si="28"/>
        <v>3788.1330883649975</v>
      </c>
      <c r="N101" s="2">
        <f t="shared" si="29"/>
        <v>184.01136707244177</v>
      </c>
      <c r="O101" s="2">
        <f>M101+SUM($N$97:N101)</f>
        <v>4736.4040800283192</v>
      </c>
      <c r="P101" s="2">
        <f t="shared" si="31"/>
        <v>948.27099166332164</v>
      </c>
    </row>
    <row r="102" spans="1:16" x14ac:dyDescent="0.25">
      <c r="B102" s="10">
        <v>2023</v>
      </c>
      <c r="C102" s="11">
        <v>5022.1493287186813</v>
      </c>
      <c r="D102" s="11">
        <v>1371090.8945916586</v>
      </c>
      <c r="E102" s="17">
        <f t="shared" si="25"/>
        <v>996900.03744880413</v>
      </c>
      <c r="F102" s="17">
        <f t="shared" si="26"/>
        <v>67772.509090909094</v>
      </c>
      <c r="G102" s="21">
        <v>14.6</v>
      </c>
      <c r="H102" s="21">
        <v>19.896739199999999</v>
      </c>
      <c r="I102" s="17">
        <f t="shared" si="27"/>
        <v>179.32252389706559</v>
      </c>
      <c r="J102" s="20">
        <f>J101+I101</f>
        <v>948.27099166332164</v>
      </c>
      <c r="K102" s="22">
        <v>5.2645734067182107E-2</v>
      </c>
      <c r="L102" s="35"/>
      <c r="M102" s="2">
        <f t="shared" si="28"/>
        <v>3594.6941276091529</v>
      </c>
      <c r="N102" s="2">
        <f t="shared" si="29"/>
        <v>179.32252389706559</v>
      </c>
      <c r="O102" s="2">
        <f>M102+SUM($N$97:N102)</f>
        <v>4722.2876431695404</v>
      </c>
      <c r="P102" s="2">
        <f t="shared" si="31"/>
        <v>1127.5935155603875</v>
      </c>
    </row>
    <row r="103" spans="1:16" x14ac:dyDescent="0.25">
      <c r="B103" s="10">
        <v>2024</v>
      </c>
      <c r="C103" s="11">
        <v>5103.1187691104178</v>
      </c>
      <c r="D103" s="11">
        <v>1412434.5035978679</v>
      </c>
      <c r="E103" s="17">
        <f t="shared" si="25"/>
        <v>960866.50359787163</v>
      </c>
      <c r="F103" s="17">
        <f t="shared" si="26"/>
        <v>70342.85714285617</v>
      </c>
      <c r="G103" s="21">
        <v>14.6</v>
      </c>
      <c r="H103" s="21">
        <v>20.832056000000001</v>
      </c>
      <c r="I103" s="17">
        <f t="shared" si="27"/>
        <v>174.53285676351709</v>
      </c>
      <c r="J103" s="20">
        <f t="shared" si="30"/>
        <v>1127.5935155603872</v>
      </c>
      <c r="K103" s="22">
        <v>5.1687952318365801E-2</v>
      </c>
      <c r="L103" s="35"/>
      <c r="M103" s="2">
        <f t="shared" si="28"/>
        <v>3401.7275357727162</v>
      </c>
      <c r="N103" s="2">
        <f t="shared" si="29"/>
        <v>174.53285676351709</v>
      </c>
      <c r="O103" s="2">
        <f>M103+SUM($N$97:N103)</f>
        <v>4703.8539080966202</v>
      </c>
      <c r="P103" s="2">
        <f t="shared" si="31"/>
        <v>1302.126372323904</v>
      </c>
    </row>
    <row r="104" spans="1:16" x14ac:dyDescent="0.25">
      <c r="B104" s="10">
        <v>2025</v>
      </c>
      <c r="C104" s="11">
        <v>5195.5160642926385</v>
      </c>
      <c r="D104" s="11">
        <v>1453842.0175012546</v>
      </c>
      <c r="E104" s="17">
        <f t="shared" si="25"/>
        <v>920607.73178697284</v>
      </c>
      <c r="F104" s="17">
        <f t="shared" si="26"/>
        <v>72757.236363636126</v>
      </c>
      <c r="G104" s="21">
        <v>14.6</v>
      </c>
      <c r="H104" s="21">
        <v>21.809887199999999</v>
      </c>
      <c r="I104" s="17">
        <f t="shared" si="27"/>
        <v>169.79604694378511</v>
      </c>
      <c r="J104" s="20">
        <f t="shared" si="30"/>
        <v>1302.1263723239044</v>
      </c>
      <c r="K104" s="22">
        <v>5.089847850104328E-2</v>
      </c>
      <c r="L104" s="35"/>
      <c r="M104" s="2">
        <f t="shared" si="28"/>
        <v>3209.4200578255795</v>
      </c>
      <c r="N104" s="2">
        <f t="shared" si="29"/>
        <v>169.79604694378511</v>
      </c>
      <c r="O104" s="2">
        <f>M104+SUM($N$97:N104)</f>
        <v>4681.3424770932688</v>
      </c>
      <c r="P104" s="2">
        <f t="shared" si="31"/>
        <v>1471.9224192676893</v>
      </c>
    </row>
    <row r="105" spans="1:16" x14ac:dyDescent="0.25">
      <c r="B105" s="10">
        <v>2026</v>
      </c>
      <c r="C105" s="11">
        <v>5299.0832939312513</v>
      </c>
      <c r="D105" s="11">
        <v>1495296.6218874408</v>
      </c>
      <c r="E105" s="17">
        <f t="shared" si="25"/>
        <v>876106.90760173183</v>
      </c>
      <c r="F105" s="17">
        <f t="shared" si="26"/>
        <v>75015.646753245586</v>
      </c>
      <c r="G105" s="21">
        <v>14.6</v>
      </c>
      <c r="H105" s="21">
        <v>21.809887199999999</v>
      </c>
      <c r="I105" s="17">
        <f t="shared" si="27"/>
        <v>172.92900830320642</v>
      </c>
      <c r="J105" s="20">
        <f t="shared" si="30"/>
        <v>1471.9224192676895</v>
      </c>
      <c r="K105" s="22">
        <v>5.0277006570467471E-2</v>
      </c>
      <c r="L105" s="35"/>
      <c r="M105" s="2">
        <f t="shared" si="28"/>
        <v>3016.9885445153573</v>
      </c>
      <c r="N105" s="2">
        <f t="shared" si="29"/>
        <v>172.92900830320642</v>
      </c>
      <c r="O105" s="2">
        <f>M105+SUM($N$97:N105)</f>
        <v>4661.8399720862535</v>
      </c>
      <c r="P105" s="2">
        <f t="shared" si="31"/>
        <v>1644.8514275708962</v>
      </c>
    </row>
    <row r="106" spans="1:16" x14ac:dyDescent="0.25">
      <c r="B106" s="10">
        <v>2027</v>
      </c>
      <c r="C106" s="11">
        <v>5413.8700580907316</v>
      </c>
      <c r="D106" s="11">
        <v>1536770.45903657</v>
      </c>
      <c r="E106" s="17">
        <f t="shared" si="25"/>
        <v>827336.17332229018</v>
      </c>
      <c r="F106" s="17">
        <f t="shared" si="26"/>
        <v>77118.088311687854</v>
      </c>
      <c r="G106" s="21">
        <v>14.6</v>
      </c>
      <c r="H106" s="21">
        <v>21.809887199999999</v>
      </c>
      <c r="I106" s="17">
        <f t="shared" si="27"/>
        <v>176.19841442464391</v>
      </c>
      <c r="J106" s="20">
        <f t="shared" si="30"/>
        <v>1644.851427570896</v>
      </c>
      <c r="K106" s="22">
        <v>4.9830949230596E-2</v>
      </c>
      <c r="L106" s="35"/>
      <c r="M106" s="2">
        <f>E106*K106/G106</f>
        <v>2823.7634828396313</v>
      </c>
      <c r="N106" s="2">
        <f>F106*K106/H106</f>
        <v>176.19841442464391</v>
      </c>
      <c r="O106" s="2">
        <f>M106+SUM($N$97:N106)</f>
        <v>4644.8133248351714</v>
      </c>
      <c r="P106" s="2">
        <f t="shared" si="31"/>
        <v>1821.0498419955402</v>
      </c>
    </row>
    <row r="107" spans="1:16" x14ac:dyDescent="0.25">
      <c r="B107" s="10">
        <v>2028</v>
      </c>
      <c r="C107" s="11">
        <v>5539.9656368863471</v>
      </c>
      <c r="D107" s="11">
        <v>1578233.9588539612</v>
      </c>
      <c r="E107" s="17">
        <f t="shared" si="25"/>
        <v>774265.95885396679</v>
      </c>
      <c r="F107" s="17">
        <f t="shared" si="26"/>
        <v>79064.561038961256</v>
      </c>
      <c r="G107" s="21">
        <v>14.6</v>
      </c>
      <c r="H107" s="21">
        <v>21.809887199999999</v>
      </c>
      <c r="I107" s="17">
        <f t="shared" si="27"/>
        <v>179.70614103609924</v>
      </c>
      <c r="J107" s="20">
        <f t="shared" si="30"/>
        <v>1821.04984199554</v>
      </c>
      <c r="K107" s="22">
        <v>4.9571775440746917E-2</v>
      </c>
      <c r="L107" s="35"/>
      <c r="M107" s="2">
        <f t="shared" ref="M107:M109" si="32">E107*K107/G107</f>
        <v>2628.8861810769477</v>
      </c>
      <c r="N107" s="2">
        <f t="shared" ref="N107:N109" si="33">F107*K107/H107</f>
        <v>179.70614103609924</v>
      </c>
      <c r="O107" s="2">
        <f>M107+SUM($N$97:N107)</f>
        <v>4629.6421641085872</v>
      </c>
      <c r="P107" s="2">
        <f t="shared" si="31"/>
        <v>2000.7559830316395</v>
      </c>
    </row>
    <row r="108" spans="1:16" x14ac:dyDescent="0.25">
      <c r="B108" s="10">
        <v>2029</v>
      </c>
      <c r="C108" s="11">
        <v>5677.2013900999818</v>
      </c>
      <c r="D108" s="11">
        <v>1619667.6062884759</v>
      </c>
      <c r="E108" s="17">
        <f t="shared" si="25"/>
        <v>716876.74914562516</v>
      </c>
      <c r="F108" s="17">
        <f t="shared" si="26"/>
        <v>80855.064935064293</v>
      </c>
      <c r="G108" s="21">
        <v>14.6</v>
      </c>
      <c r="H108" s="21">
        <v>21.809887199999999</v>
      </c>
      <c r="I108" s="17">
        <f t="shared" si="27"/>
        <v>183.54718757975348</v>
      </c>
      <c r="J108" s="20">
        <f t="shared" si="30"/>
        <v>2000.7559830316393</v>
      </c>
      <c r="K108" s="22">
        <v>4.9510113685600751E-2</v>
      </c>
      <c r="L108" s="35"/>
      <c r="M108" s="2">
        <f t="shared" si="32"/>
        <v>2431.0033800523147</v>
      </c>
      <c r="N108" s="2">
        <f t="shared" si="33"/>
        <v>183.54718757975348</v>
      </c>
      <c r="O108" s="2">
        <f>M108+SUM($N$97:N108)</f>
        <v>4615.3065506637076</v>
      </c>
      <c r="P108" s="2">
        <f t="shared" si="31"/>
        <v>2184.3031706113929</v>
      </c>
    </row>
    <row r="109" spans="1:16" x14ac:dyDescent="0.25">
      <c r="B109" s="10">
        <v>2030</v>
      </c>
      <c r="C109" s="11">
        <v>5826.0534783480334</v>
      </c>
      <c r="D109" s="11">
        <v>1661026.0804002865</v>
      </c>
      <c r="E109" s="17">
        <f t="shared" si="25"/>
        <v>655123.22325743572</v>
      </c>
      <c r="F109" s="17">
        <f t="shared" si="26"/>
        <v>82489.600000000006</v>
      </c>
      <c r="G109" s="21">
        <v>14.6</v>
      </c>
      <c r="H109" s="21">
        <v>21.809887199999999</v>
      </c>
      <c r="I109" s="17">
        <f t="shared" si="27"/>
        <v>187.88411122913794</v>
      </c>
      <c r="J109" s="20">
        <f t="shared" si="30"/>
        <v>2184.3031706113929</v>
      </c>
      <c r="K109" s="22">
        <v>4.9675732123561661E-2</v>
      </c>
      <c r="L109" s="35"/>
      <c r="M109" s="2">
        <f t="shared" si="32"/>
        <v>2229.0223114014152</v>
      </c>
      <c r="N109" s="2">
        <f t="shared" si="33"/>
        <v>187.88411122913794</v>
      </c>
      <c r="O109" s="2">
        <f>M109+SUM($N$97:N109)</f>
        <v>4601.2095932419461</v>
      </c>
      <c r="P109" s="2">
        <f t="shared" si="31"/>
        <v>2372.1872818405309</v>
      </c>
    </row>
    <row r="110" spans="1:16" x14ac:dyDescent="0.25">
      <c r="A110">
        <v>1</v>
      </c>
      <c r="B110" s="10">
        <v>2031</v>
      </c>
      <c r="D110" s="43">
        <f>C152</f>
        <v>1699877.2219293118</v>
      </c>
      <c r="E110" s="17">
        <f t="shared" ref="E110:E129" si="34">F67</f>
        <v>586573.2219293192</v>
      </c>
      <c r="F110" s="17">
        <f t="shared" ref="F110:F129" si="35">D24</f>
        <v>83968.166233765398</v>
      </c>
      <c r="G110" s="21">
        <v>14.6</v>
      </c>
      <c r="H110" s="21">
        <v>21.809887199999999</v>
      </c>
      <c r="I110" s="17">
        <f t="shared" ref="I110:I129" si="36">F110*K110/H110</f>
        <v>191.25179761292966</v>
      </c>
      <c r="J110" s="20">
        <f t="shared" ref="J110:J129" si="37">J109+I109</f>
        <v>2372.1872818405309</v>
      </c>
      <c r="K110" s="47">
        <f>K109</f>
        <v>4.9675732123561661E-2</v>
      </c>
      <c r="L110" s="47"/>
    </row>
    <row r="111" spans="1:16" x14ac:dyDescent="0.25">
      <c r="A111">
        <v>2</v>
      </c>
      <c r="B111" s="10">
        <v>2032</v>
      </c>
      <c r="D111" s="43">
        <f t="shared" ref="D111:D129" si="38">C153</f>
        <v>1739712.7580529451</v>
      </c>
      <c r="E111" s="17">
        <f t="shared" si="34"/>
        <v>514718.47233866714</v>
      </c>
      <c r="F111" s="17">
        <f t="shared" si="35"/>
        <v>85290.763636363437</v>
      </c>
      <c r="G111" s="21">
        <v>14.6</v>
      </c>
      <c r="H111" s="21">
        <v>21.809887199999999</v>
      </c>
      <c r="I111" s="17">
        <f t="shared" si="36"/>
        <v>194.26423842366339</v>
      </c>
      <c r="J111" s="20">
        <f t="shared" si="37"/>
        <v>2563.4390794534606</v>
      </c>
      <c r="K111" s="47">
        <f t="shared" ref="K111:K129" si="39">K110</f>
        <v>4.9675732123561661E-2</v>
      </c>
      <c r="L111" s="47"/>
    </row>
    <row r="112" spans="1:16" x14ac:dyDescent="0.25">
      <c r="A112">
        <v>3</v>
      </c>
      <c r="B112" s="10">
        <v>2033</v>
      </c>
      <c r="D112" s="43">
        <f t="shared" si="38"/>
        <v>1779272.0068622828</v>
      </c>
      <c r="E112" s="17">
        <f t="shared" si="34"/>
        <v>438298.2925765774</v>
      </c>
      <c r="F112" s="17">
        <f t="shared" si="35"/>
        <v>86457.392207791214</v>
      </c>
      <c r="G112" s="21">
        <v>14.6</v>
      </c>
      <c r="H112" s="21">
        <v>21.809887199999999</v>
      </c>
      <c r="I112" s="17">
        <f t="shared" si="36"/>
        <v>196.92143366133246</v>
      </c>
      <c r="J112" s="20">
        <f t="shared" si="37"/>
        <v>2757.7033178771239</v>
      </c>
      <c r="K112" s="47">
        <f t="shared" si="39"/>
        <v>4.9675732123561661E-2</v>
      </c>
      <c r="L112" s="47"/>
    </row>
    <row r="113" spans="1:12" x14ac:dyDescent="0.25">
      <c r="A113">
        <v>4</v>
      </c>
      <c r="B113" s="10">
        <v>2034</v>
      </c>
      <c r="D113" s="43">
        <f t="shared" si="38"/>
        <v>1818554.9683576822</v>
      </c>
      <c r="E113" s="17">
        <f t="shared" si="34"/>
        <v>357312.68264340586</v>
      </c>
      <c r="F113" s="17">
        <f t="shared" si="35"/>
        <v>87468.051948051565</v>
      </c>
      <c r="G113" s="21">
        <v>14.6</v>
      </c>
      <c r="H113" s="21">
        <v>21.809887199999999</v>
      </c>
      <c r="I113" s="17">
        <f t="shared" si="36"/>
        <v>199.22338332594336</v>
      </c>
      <c r="J113" s="20">
        <f t="shared" si="37"/>
        <v>2954.6247515384566</v>
      </c>
      <c r="K113" s="47">
        <f t="shared" si="39"/>
        <v>4.9675732123561661E-2</v>
      </c>
      <c r="L113" s="47"/>
    </row>
    <row r="114" spans="1:12" x14ac:dyDescent="0.25">
      <c r="A114">
        <v>5</v>
      </c>
      <c r="B114" s="10">
        <v>2035</v>
      </c>
      <c r="D114" s="43">
        <f t="shared" si="38"/>
        <v>1857561.6425389051</v>
      </c>
      <c r="E114" s="17">
        <f t="shared" si="34"/>
        <v>271761.64253891422</v>
      </c>
      <c r="F114" s="17">
        <f t="shared" si="35"/>
        <v>88322.74285714305</v>
      </c>
      <c r="G114" s="21">
        <v>14.6</v>
      </c>
      <c r="H114" s="21">
        <v>21.809887199999999</v>
      </c>
      <c r="I114" s="17">
        <f t="shared" si="36"/>
        <v>201.17008741749282</v>
      </c>
      <c r="J114" s="20">
        <f t="shared" si="37"/>
        <v>3153.8481348644</v>
      </c>
      <c r="K114" s="47">
        <f t="shared" si="39"/>
        <v>4.9675732123561661E-2</v>
      </c>
      <c r="L114" s="47"/>
    </row>
    <row r="115" spans="1:12" x14ac:dyDescent="0.25">
      <c r="A115">
        <v>6</v>
      </c>
      <c r="B115" s="10">
        <v>2036</v>
      </c>
      <c r="D115" s="43">
        <f t="shared" si="38"/>
        <v>1896292.0294060707</v>
      </c>
      <c r="E115" s="17">
        <f t="shared" si="34"/>
        <v>181645.1722632235</v>
      </c>
      <c r="F115" s="17">
        <f t="shared" si="35"/>
        <v>89021.464935064374</v>
      </c>
      <c r="G115" s="21">
        <v>14.6</v>
      </c>
      <c r="H115" s="21">
        <v>21.809887199999999</v>
      </c>
      <c r="I115" s="17">
        <f t="shared" si="36"/>
        <v>202.76154593597789</v>
      </c>
      <c r="J115" s="20">
        <f t="shared" si="37"/>
        <v>3355.018222281893</v>
      </c>
      <c r="K115" s="47">
        <f t="shared" si="39"/>
        <v>4.9675732123561661E-2</v>
      </c>
      <c r="L115" s="47"/>
    </row>
    <row r="116" spans="1:12" x14ac:dyDescent="0.25">
      <c r="A116">
        <v>7</v>
      </c>
      <c r="B116" s="10">
        <v>2037</v>
      </c>
      <c r="D116" s="43">
        <f t="shared" si="38"/>
        <v>1934746.1289587021</v>
      </c>
      <c r="E116" s="17">
        <f t="shared" si="34"/>
        <v>86963.271815854823</v>
      </c>
      <c r="F116" s="17">
        <f t="shared" si="35"/>
        <v>89564.218181818185</v>
      </c>
      <c r="G116" s="21">
        <v>14.6</v>
      </c>
      <c r="H116" s="21">
        <v>21.809887199999999</v>
      </c>
      <c r="I116" s="17">
        <f t="shared" si="36"/>
        <v>203.99775888140454</v>
      </c>
      <c r="J116" s="20">
        <f t="shared" si="37"/>
        <v>3557.7797682178707</v>
      </c>
      <c r="K116" s="47">
        <f t="shared" si="39"/>
        <v>4.9675732123561661E-2</v>
      </c>
      <c r="L116" s="47"/>
    </row>
    <row r="117" spans="1:12" x14ac:dyDescent="0.25">
      <c r="A117">
        <v>8</v>
      </c>
      <c r="B117" s="10">
        <v>2038</v>
      </c>
      <c r="D117" s="43">
        <f t="shared" si="38"/>
        <v>1972923.9411973953</v>
      </c>
      <c r="E117" s="17">
        <f t="shared" si="34"/>
        <v>0</v>
      </c>
      <c r="F117" s="17">
        <f t="shared" si="35"/>
        <v>81910.527744795254</v>
      </c>
      <c r="G117" s="21">
        <v>14.6</v>
      </c>
      <c r="H117" s="21">
        <v>21.809887199999999</v>
      </c>
      <c r="I117" s="17">
        <f t="shared" si="36"/>
        <v>186.56517555716724</v>
      </c>
      <c r="J117" s="20">
        <f t="shared" si="37"/>
        <v>3761.7775270992752</v>
      </c>
      <c r="K117" s="47">
        <f t="shared" si="39"/>
        <v>4.9675732123561661E-2</v>
      </c>
      <c r="L117" s="47"/>
    </row>
    <row r="118" spans="1:12" x14ac:dyDescent="0.25">
      <c r="A118">
        <v>9</v>
      </c>
      <c r="B118" s="10">
        <v>2039</v>
      </c>
      <c r="D118" s="43">
        <f t="shared" si="38"/>
        <v>2010825.466121912</v>
      </c>
      <c r="E118" s="17">
        <f t="shared" si="34"/>
        <v>0</v>
      </c>
      <c r="F118" s="17">
        <f t="shared" si="35"/>
        <v>24119.152224692432</v>
      </c>
      <c r="G118" s="21">
        <v>14.6</v>
      </c>
      <c r="H118" s="21">
        <v>21.809887199999999</v>
      </c>
      <c r="I118" s="17">
        <f t="shared" si="36"/>
        <v>54.93547646414364</v>
      </c>
      <c r="J118" s="20">
        <f t="shared" si="37"/>
        <v>3948.3427026564423</v>
      </c>
      <c r="K118" s="47">
        <f t="shared" si="39"/>
        <v>4.9675732123561661E-2</v>
      </c>
      <c r="L118" s="47"/>
    </row>
    <row r="119" spans="1:12" x14ac:dyDescent="0.25">
      <c r="A119">
        <v>10</v>
      </c>
      <c r="B119" s="10">
        <v>2040</v>
      </c>
      <c r="D119" s="43">
        <f t="shared" si="38"/>
        <v>2048450.7037320137</v>
      </c>
      <c r="E119" s="17">
        <f t="shared" si="34"/>
        <v>0</v>
      </c>
      <c r="F119" s="17">
        <f t="shared" si="35"/>
        <v>23259.237795335597</v>
      </c>
      <c r="G119" s="21">
        <v>14.6</v>
      </c>
      <c r="H119" s="21">
        <v>21.809887199999999</v>
      </c>
      <c r="I119" s="17">
        <f t="shared" si="36"/>
        <v>52.976874915671829</v>
      </c>
      <c r="J119" s="20">
        <f t="shared" si="37"/>
        <v>4003.2781791205857</v>
      </c>
      <c r="K119" s="47">
        <f t="shared" si="39"/>
        <v>4.9675732123561661E-2</v>
      </c>
      <c r="L119" s="47"/>
    </row>
    <row r="120" spans="1:12" x14ac:dyDescent="0.25">
      <c r="A120">
        <v>11</v>
      </c>
      <c r="B120" s="10">
        <v>2041</v>
      </c>
      <c r="D120" s="43">
        <f t="shared" si="38"/>
        <v>2085799.6540281773</v>
      </c>
      <c r="E120" s="17">
        <f t="shared" si="34"/>
        <v>0</v>
      </c>
      <c r="F120" s="17">
        <f t="shared" si="35"/>
        <v>22409.370177698132</v>
      </c>
      <c r="G120" s="21">
        <v>14.6</v>
      </c>
      <c r="H120" s="21">
        <v>21.809887199999999</v>
      </c>
      <c r="I120" s="17">
        <f t="shared" si="36"/>
        <v>51.041156691771597</v>
      </c>
      <c r="J120" s="20">
        <f t="shared" si="37"/>
        <v>4056.2550540362577</v>
      </c>
      <c r="K120" s="47">
        <f t="shared" si="39"/>
        <v>4.9675732123561661E-2</v>
      </c>
      <c r="L120" s="47"/>
    </row>
    <row r="121" spans="1:12" x14ac:dyDescent="0.25">
      <c r="A121">
        <v>12</v>
      </c>
      <c r="B121" s="10">
        <v>2042</v>
      </c>
      <c r="D121" s="43">
        <f t="shared" si="38"/>
        <v>2122872.3170102835</v>
      </c>
      <c r="E121" s="17">
        <f t="shared" si="34"/>
        <v>0</v>
      </c>
      <c r="F121" s="17">
        <f t="shared" si="35"/>
        <v>21569.549371407247</v>
      </c>
      <c r="G121" s="21">
        <v>14.6</v>
      </c>
      <c r="H121" s="21">
        <v>21.809887199999999</v>
      </c>
      <c r="I121" s="17">
        <f t="shared" si="36"/>
        <v>49.128321791593876</v>
      </c>
      <c r="J121" s="20">
        <f t="shared" si="37"/>
        <v>4107.2962107280291</v>
      </c>
      <c r="K121" s="47">
        <f t="shared" si="39"/>
        <v>4.9675732123561661E-2</v>
      </c>
      <c r="L121" s="47"/>
    </row>
    <row r="122" spans="1:12" x14ac:dyDescent="0.25">
      <c r="A122">
        <v>13</v>
      </c>
      <c r="B122" s="10">
        <v>2043</v>
      </c>
      <c r="D122" s="43">
        <f t="shared" si="38"/>
        <v>2159668.6926778555</v>
      </c>
      <c r="E122" s="17">
        <f t="shared" si="34"/>
        <v>0</v>
      </c>
      <c r="F122" s="17">
        <f t="shared" si="35"/>
        <v>20739.775376267869</v>
      </c>
      <c r="G122" s="21">
        <v>14.6</v>
      </c>
      <c r="H122" s="21">
        <v>21.809887199999999</v>
      </c>
      <c r="I122" s="17">
        <f t="shared" si="36"/>
        <v>47.238370214694328</v>
      </c>
      <c r="J122" s="20">
        <f t="shared" si="37"/>
        <v>4156.4245325196234</v>
      </c>
      <c r="K122" s="47">
        <f t="shared" si="39"/>
        <v>4.9675732123561661E-2</v>
      </c>
      <c r="L122" s="47"/>
    </row>
    <row r="123" spans="1:12" x14ac:dyDescent="0.25">
      <c r="A123">
        <v>14</v>
      </c>
      <c r="B123" s="10">
        <v>2044</v>
      </c>
      <c r="D123" s="43">
        <f t="shared" si="38"/>
        <v>2196188.7810314894</v>
      </c>
      <c r="E123" s="17">
        <f t="shared" si="34"/>
        <v>0</v>
      </c>
      <c r="F123" s="17">
        <f t="shared" si="35"/>
        <v>19920.048192891209</v>
      </c>
      <c r="G123" s="21">
        <v>14.6</v>
      </c>
      <c r="H123" s="21">
        <v>21.809887199999999</v>
      </c>
      <c r="I123" s="17">
        <f t="shared" si="36"/>
        <v>45.37130196246509</v>
      </c>
      <c r="J123" s="20">
        <f t="shared" si="37"/>
        <v>4203.6629027343179</v>
      </c>
      <c r="K123" s="47">
        <f t="shared" si="39"/>
        <v>4.9675732123561661E-2</v>
      </c>
      <c r="L123" s="47"/>
    </row>
    <row r="124" spans="1:12" x14ac:dyDescent="0.25">
      <c r="A124">
        <v>15</v>
      </c>
      <c r="B124" s="10">
        <v>2045</v>
      </c>
      <c r="D124" s="43">
        <f t="shared" si="38"/>
        <v>2232432.5820710659</v>
      </c>
      <c r="E124" s="17">
        <f t="shared" si="34"/>
        <v>0</v>
      </c>
      <c r="F124" s="17">
        <f t="shared" si="35"/>
        <v>19110.367820867625</v>
      </c>
      <c r="G124" s="21">
        <v>14.6</v>
      </c>
      <c r="H124" s="21">
        <v>21.809887199999999</v>
      </c>
      <c r="I124" s="17">
        <f t="shared" si="36"/>
        <v>43.527117033973148</v>
      </c>
      <c r="J124" s="20">
        <f t="shared" si="37"/>
        <v>4249.0342046967826</v>
      </c>
      <c r="K124" s="47">
        <f t="shared" si="39"/>
        <v>4.9675732123561661E-2</v>
      </c>
      <c r="L124" s="47"/>
    </row>
    <row r="125" spans="1:12" x14ac:dyDescent="0.25">
      <c r="A125">
        <v>16</v>
      </c>
      <c r="B125" s="10">
        <v>2046</v>
      </c>
      <c r="D125" s="43">
        <f t="shared" si="38"/>
        <v>2268400.0957963467</v>
      </c>
      <c r="E125" s="17">
        <f t="shared" si="34"/>
        <v>0</v>
      </c>
      <c r="F125" s="17">
        <f t="shared" si="35"/>
        <v>18310.734260142934</v>
      </c>
      <c r="G125" s="21">
        <v>14.6</v>
      </c>
      <c r="H125" s="21">
        <v>21.809887199999999</v>
      </c>
      <c r="I125" s="17">
        <f t="shared" si="36"/>
        <v>41.70581542909509</v>
      </c>
      <c r="J125" s="20">
        <f t="shared" si="37"/>
        <v>4292.5613217307555</v>
      </c>
      <c r="K125" s="47">
        <f t="shared" si="39"/>
        <v>4.9675732123561661E-2</v>
      </c>
      <c r="L125" s="47"/>
    </row>
    <row r="126" spans="1:12" x14ac:dyDescent="0.25">
      <c r="A126">
        <v>17</v>
      </c>
      <c r="B126" s="10">
        <v>2047</v>
      </c>
      <c r="D126" s="43">
        <f t="shared" si="38"/>
        <v>2304091.3222073317</v>
      </c>
      <c r="E126" s="17">
        <f t="shared" si="34"/>
        <v>0</v>
      </c>
      <c r="F126" s="17">
        <f t="shared" si="35"/>
        <v>17521.147510847179</v>
      </c>
      <c r="G126" s="21">
        <v>14.6</v>
      </c>
      <c r="H126" s="21">
        <v>21.809887199999999</v>
      </c>
      <c r="I126" s="17">
        <f t="shared" si="36"/>
        <v>39.907397148127096</v>
      </c>
      <c r="J126" s="20">
        <f t="shared" si="37"/>
        <v>4334.2671371598508</v>
      </c>
      <c r="K126" s="47">
        <f t="shared" si="39"/>
        <v>4.9675732123561661E-2</v>
      </c>
      <c r="L126" s="47"/>
    </row>
    <row r="127" spans="1:12" x14ac:dyDescent="0.25">
      <c r="A127">
        <v>18</v>
      </c>
      <c r="B127" s="10">
        <v>2048</v>
      </c>
      <c r="D127" s="43">
        <f t="shared" si="38"/>
        <v>2339506.2613042593</v>
      </c>
      <c r="E127" s="17">
        <f t="shared" si="34"/>
        <v>0</v>
      </c>
      <c r="F127" s="17">
        <f t="shared" si="35"/>
        <v>16741.607573093068</v>
      </c>
      <c r="G127" s="21">
        <v>14.6</v>
      </c>
      <c r="H127" s="21">
        <v>21.809887199999999</v>
      </c>
      <c r="I127" s="17">
        <f t="shared" si="36"/>
        <v>38.131862191325894</v>
      </c>
      <c r="J127" s="20">
        <f t="shared" si="37"/>
        <v>4374.1745343079783</v>
      </c>
      <c r="K127" s="47">
        <f t="shared" si="39"/>
        <v>4.9675732123561661E-2</v>
      </c>
      <c r="L127" s="47"/>
    </row>
    <row r="128" spans="1:12" x14ac:dyDescent="0.25">
      <c r="A128">
        <v>19</v>
      </c>
      <c r="B128" s="10">
        <v>2049</v>
      </c>
      <c r="D128" s="43">
        <f t="shared" si="38"/>
        <v>2374644.9130871296</v>
      </c>
      <c r="E128" s="17">
        <f t="shared" si="34"/>
        <v>0</v>
      </c>
      <c r="F128" s="17">
        <f t="shared" si="35"/>
        <v>15972.114446759224</v>
      </c>
      <c r="G128" s="21">
        <v>14.6</v>
      </c>
      <c r="H128" s="21">
        <v>21.809887199999999</v>
      </c>
      <c r="I128" s="17">
        <f t="shared" si="36"/>
        <v>36.379210558415018</v>
      </c>
      <c r="J128" s="20">
        <f t="shared" si="37"/>
        <v>4412.3063964993044</v>
      </c>
      <c r="K128" s="47">
        <f t="shared" si="39"/>
        <v>4.9675732123561661E-2</v>
      </c>
      <c r="L128" s="47"/>
    </row>
    <row r="129" spans="1:12" x14ac:dyDescent="0.25">
      <c r="A129">
        <v>20</v>
      </c>
      <c r="B129" s="10">
        <v>2050</v>
      </c>
      <c r="D129" s="43">
        <f t="shared" si="38"/>
        <v>2409507.2775554657</v>
      </c>
      <c r="E129" s="17">
        <f t="shared" si="34"/>
        <v>0</v>
      </c>
      <c r="F129" s="17">
        <f t="shared" si="35"/>
        <v>15212.668131637576</v>
      </c>
      <c r="G129" s="21">
        <v>14.6</v>
      </c>
      <c r="H129" s="21">
        <v>21.809887199999999</v>
      </c>
      <c r="I129" s="17">
        <f t="shared" si="36"/>
        <v>34.64944224892055</v>
      </c>
      <c r="J129" s="20">
        <f t="shared" si="37"/>
        <v>4448.6856070577196</v>
      </c>
      <c r="K129" s="47">
        <f t="shared" si="39"/>
        <v>4.9675732123561661E-2</v>
      </c>
      <c r="L129" s="47"/>
    </row>
    <row r="130" spans="1:12" x14ac:dyDescent="0.25">
      <c r="B130" t="s">
        <v>23</v>
      </c>
      <c r="C130" t="s">
        <v>24</v>
      </c>
      <c r="D130" t="s">
        <v>25</v>
      </c>
      <c r="E130" t="s">
        <v>27</v>
      </c>
    </row>
    <row r="132" spans="1:12" x14ac:dyDescent="0.25">
      <c r="E132" s="1"/>
    </row>
    <row r="133" spans="1:12" ht="39.75" x14ac:dyDescent="0.25">
      <c r="B133" s="24" t="s">
        <v>0</v>
      </c>
      <c r="C133" s="23" t="s">
        <v>69</v>
      </c>
      <c r="D133" s="25" t="s">
        <v>5</v>
      </c>
      <c r="E133" s="25" t="s">
        <v>6</v>
      </c>
      <c r="F133" s="23" t="s">
        <v>37</v>
      </c>
      <c r="G133" s="25" t="s">
        <v>72</v>
      </c>
      <c r="H133" s="25" t="s">
        <v>73</v>
      </c>
      <c r="I133" s="25" t="s">
        <v>74</v>
      </c>
    </row>
    <row r="134" spans="1:12" x14ac:dyDescent="0.25">
      <c r="B134" s="26">
        <v>2013</v>
      </c>
      <c r="C134" s="27">
        <v>1073183.6651212492</v>
      </c>
      <c r="D134" s="28">
        <v>0</v>
      </c>
      <c r="E134" s="28">
        <f t="shared" ref="E134:E151" si="40">F49</f>
        <v>1073183.6651212492</v>
      </c>
      <c r="F134" s="27">
        <v>4488.9048500498293</v>
      </c>
      <c r="G134" s="28">
        <f t="shared" ref="G134:G151" si="41">H6</f>
        <v>0</v>
      </c>
      <c r="H134" s="28">
        <f t="shared" ref="H134:H151" si="42">G49</f>
        <v>4488.9048500498293</v>
      </c>
      <c r="I134" s="28">
        <f>G134+H134</f>
        <v>4488.9048500498293</v>
      </c>
    </row>
    <row r="135" spans="1:12" x14ac:dyDescent="0.25">
      <c r="B135" s="26">
        <v>2014</v>
      </c>
      <c r="C135" s="27">
        <v>976651.16433813574</v>
      </c>
      <c r="D135" s="28">
        <v>0</v>
      </c>
      <c r="E135" s="28">
        <f t="shared" si="40"/>
        <v>976651.16433813574</v>
      </c>
      <c r="F135" s="27">
        <v>4409.1759291458902</v>
      </c>
      <c r="G135" s="28">
        <f t="shared" si="41"/>
        <v>0</v>
      </c>
      <c r="H135" s="28">
        <f t="shared" si="42"/>
        <v>4409.1759291458893</v>
      </c>
      <c r="I135" s="28">
        <f t="shared" ref="I135:I151" si="43">G135+H135</f>
        <v>4409.1759291458893</v>
      </c>
    </row>
    <row r="136" spans="1:12" x14ac:dyDescent="0.25">
      <c r="B136" s="26">
        <v>2015</v>
      </c>
      <c r="C136" s="27">
        <v>1019571.4085290028</v>
      </c>
      <c r="D136" s="28">
        <v>0</v>
      </c>
      <c r="E136" s="28">
        <f t="shared" si="40"/>
        <v>1019571.4085290028</v>
      </c>
      <c r="F136" s="27">
        <v>4697.8044143992256</v>
      </c>
      <c r="G136" s="28">
        <f t="shared" si="41"/>
        <v>0</v>
      </c>
      <c r="H136" s="28">
        <f t="shared" si="42"/>
        <v>4697.8044143992256</v>
      </c>
      <c r="I136" s="28">
        <f t="shared" si="43"/>
        <v>4697.8044143992256</v>
      </c>
    </row>
    <row r="137" spans="1:12" x14ac:dyDescent="0.25">
      <c r="B137" s="26">
        <v>2016</v>
      </c>
      <c r="C137" s="27">
        <v>1117970.6924468274</v>
      </c>
      <c r="D137" s="28">
        <v>0</v>
      </c>
      <c r="E137" s="28">
        <f t="shared" si="40"/>
        <v>1117970.6924468274</v>
      </c>
      <c r="F137" s="27">
        <v>4861.015568828896</v>
      </c>
      <c r="G137" s="28">
        <f t="shared" si="41"/>
        <v>0</v>
      </c>
      <c r="H137" s="28">
        <f t="shared" si="42"/>
        <v>4861.0155688288969</v>
      </c>
      <c r="I137" s="28">
        <f t="shared" si="43"/>
        <v>4861.0155688288969</v>
      </c>
    </row>
    <row r="138" spans="1:12" x14ac:dyDescent="0.25">
      <c r="B138" s="26">
        <v>2017</v>
      </c>
      <c r="C138" s="27">
        <v>1053030.9082251894</v>
      </c>
      <c r="D138" s="28">
        <v>0</v>
      </c>
      <c r="E138" s="28">
        <f t="shared" si="40"/>
        <v>1053030.9082251894</v>
      </c>
      <c r="F138" s="27">
        <v>4774.6817019902828</v>
      </c>
      <c r="G138" s="28">
        <f t="shared" si="41"/>
        <v>0</v>
      </c>
      <c r="H138" s="28">
        <f t="shared" si="42"/>
        <v>4774.6817019902837</v>
      </c>
      <c r="I138" s="28">
        <f t="shared" si="43"/>
        <v>4774.6817019902837</v>
      </c>
    </row>
    <row r="139" spans="1:12" x14ac:dyDescent="0.25">
      <c r="B139" s="26">
        <v>2018</v>
      </c>
      <c r="C139" s="27">
        <v>1166385.7116395417</v>
      </c>
      <c r="D139" s="28">
        <f>F11+L54</f>
        <v>51642.285714285448</v>
      </c>
      <c r="E139" s="28">
        <f t="shared" si="40"/>
        <v>1114743.4259252562</v>
      </c>
      <c r="F139" s="27">
        <v>4784.7519434793039</v>
      </c>
      <c r="G139" s="28">
        <f t="shared" si="41"/>
        <v>211.03084412307703</v>
      </c>
      <c r="H139" s="28">
        <f t="shared" si="42"/>
        <v>4572.9047607923612</v>
      </c>
      <c r="I139" s="28">
        <f t="shared" si="43"/>
        <v>4783.9356049154385</v>
      </c>
    </row>
    <row r="140" spans="1:12" x14ac:dyDescent="0.25">
      <c r="B140" s="26">
        <v>2019</v>
      </c>
      <c r="C140" s="27">
        <v>1206991.5861911501</v>
      </c>
      <c r="D140" s="28">
        <f t="shared" ref="D140:D171" si="44">F12+L55</f>
        <v>107573.71428571269</v>
      </c>
      <c r="E140" s="28">
        <f t="shared" si="40"/>
        <v>1099417.8719054374</v>
      </c>
      <c r="F140" s="27">
        <v>4809.2963508437269</v>
      </c>
      <c r="G140" s="28">
        <f t="shared" si="41"/>
        <v>432.48301783958181</v>
      </c>
      <c r="H140" s="28">
        <f t="shared" si="42"/>
        <v>4374.8827982689982</v>
      </c>
      <c r="I140" s="28">
        <f t="shared" si="43"/>
        <v>4807.3658161085796</v>
      </c>
    </row>
    <row r="141" spans="1:12" x14ac:dyDescent="0.25">
      <c r="B141" s="26">
        <v>2020</v>
      </c>
      <c r="C141" s="27">
        <v>1247784.1313553418</v>
      </c>
      <c r="D141" s="28">
        <f t="shared" si="44"/>
        <v>167794.28571428356</v>
      </c>
      <c r="E141" s="28">
        <f t="shared" si="40"/>
        <v>1079989.8456410584</v>
      </c>
      <c r="F141" s="27">
        <v>4845.536453345142</v>
      </c>
      <c r="G141" s="28">
        <f t="shared" si="41"/>
        <v>661.22195358910813</v>
      </c>
      <c r="H141" s="28">
        <f t="shared" si="42"/>
        <v>4178.1480588033046</v>
      </c>
      <c r="I141" s="28">
        <f t="shared" si="43"/>
        <v>4839.3700123924127</v>
      </c>
    </row>
    <row r="142" spans="1:12" x14ac:dyDescent="0.25">
      <c r="B142" s="26">
        <v>2021</v>
      </c>
      <c r="C142" s="27">
        <v>1288748.2711188961</v>
      </c>
      <c r="D142" s="28">
        <f t="shared" si="44"/>
        <v>232303.99999999811</v>
      </c>
      <c r="E142" s="28">
        <f t="shared" si="40"/>
        <v>1056444.2711188979</v>
      </c>
      <c r="F142" s="27">
        <v>4893.1151305214926</v>
      </c>
      <c r="G142" s="28">
        <f t="shared" si="41"/>
        <v>895.5649195831428</v>
      </c>
      <c r="H142" s="28">
        <f t="shared" si="42"/>
        <v>3982.5406391933921</v>
      </c>
      <c r="I142" s="28">
        <f t="shared" si="43"/>
        <v>4878.105558776535</v>
      </c>
    </row>
    <row r="143" spans="1:12" x14ac:dyDescent="0.25">
      <c r="B143" s="26">
        <v>2022</v>
      </c>
      <c r="C143" s="27">
        <v>1329857.3224403893</v>
      </c>
      <c r="D143" s="28">
        <f t="shared" si="44"/>
        <v>301102.85714285442</v>
      </c>
      <c r="E143" s="28">
        <f t="shared" si="40"/>
        <v>1028754.4652975349</v>
      </c>
      <c r="F143" s="27">
        <v>4952.0423023853336</v>
      </c>
      <c r="G143" s="28">
        <f t="shared" si="41"/>
        <v>1135.0813846739843</v>
      </c>
      <c r="H143" s="28">
        <f t="shared" si="42"/>
        <v>3788.1330883649975</v>
      </c>
      <c r="I143" s="28">
        <f t="shared" si="43"/>
        <v>4923.2144730389819</v>
      </c>
    </row>
    <row r="144" spans="1:12" x14ac:dyDescent="0.25">
      <c r="B144" s="26">
        <v>2023</v>
      </c>
      <c r="C144" s="27">
        <v>1371090.8945916586</v>
      </c>
      <c r="D144" s="28">
        <f t="shared" si="44"/>
        <v>374190.85714285442</v>
      </c>
      <c r="E144" s="28">
        <f t="shared" si="40"/>
        <v>996900.03744880413</v>
      </c>
      <c r="F144" s="27">
        <v>5022.1493287186813</v>
      </c>
      <c r="G144" s="28">
        <f t="shared" si="41"/>
        <v>1379.4603908839624</v>
      </c>
      <c r="H144" s="28">
        <f t="shared" si="42"/>
        <v>3594.6941276091529</v>
      </c>
      <c r="I144" s="28">
        <f t="shared" si="43"/>
        <v>4974.1545184931156</v>
      </c>
    </row>
    <row r="145" spans="2:9" x14ac:dyDescent="0.25">
      <c r="B145" s="26">
        <v>2024</v>
      </c>
      <c r="C145" s="27">
        <v>1412434.5035978679</v>
      </c>
      <c r="D145" s="28">
        <f t="shared" si="44"/>
        <v>451567.99999999622</v>
      </c>
      <c r="E145" s="28">
        <f t="shared" si="40"/>
        <v>960866.50359787163</v>
      </c>
      <c r="F145" s="27">
        <v>5103.1187691104178</v>
      </c>
      <c r="G145" s="28">
        <f t="shared" si="41"/>
        <v>1628.4931474550287</v>
      </c>
      <c r="H145" s="28">
        <f t="shared" si="42"/>
        <v>3401.7275357727162</v>
      </c>
      <c r="I145" s="28">
        <f t="shared" si="43"/>
        <v>5030.2206832277452</v>
      </c>
    </row>
    <row r="146" spans="2:9" x14ac:dyDescent="0.25">
      <c r="B146" s="26">
        <v>2025</v>
      </c>
      <c r="C146" s="27">
        <v>1453842.0175012546</v>
      </c>
      <c r="D146" s="28">
        <f t="shared" si="44"/>
        <v>533234.28571428172</v>
      </c>
      <c r="E146" s="28">
        <f t="shared" si="40"/>
        <v>920607.73178697284</v>
      </c>
      <c r="F146" s="27">
        <v>5195.5160642926385</v>
      </c>
      <c r="G146" s="28">
        <f t="shared" si="41"/>
        <v>1882.1392180611833</v>
      </c>
      <c r="H146" s="28">
        <f t="shared" si="42"/>
        <v>3209.4200578255795</v>
      </c>
      <c r="I146" s="28">
        <f t="shared" si="43"/>
        <v>5091.5592758867624</v>
      </c>
    </row>
    <row r="147" spans="2:9" x14ac:dyDescent="0.25">
      <c r="B147" s="26">
        <v>2026</v>
      </c>
      <c r="C147" s="27">
        <v>1495296.6218874408</v>
      </c>
      <c r="D147" s="28">
        <f t="shared" si="44"/>
        <v>619189.71428570896</v>
      </c>
      <c r="E147" s="28">
        <f t="shared" si="40"/>
        <v>876106.90760173183</v>
      </c>
      <c r="F147" s="27">
        <v>5299.0832939312513</v>
      </c>
      <c r="G147" s="28">
        <f t="shared" si="41"/>
        <v>2140.4653937256212</v>
      </c>
      <c r="H147" s="28">
        <f t="shared" si="42"/>
        <v>3016.9885445153573</v>
      </c>
      <c r="I147" s="28">
        <f t="shared" si="43"/>
        <v>5157.4539382409785</v>
      </c>
    </row>
    <row r="148" spans="2:9" x14ac:dyDescent="0.25">
      <c r="B148" s="26">
        <v>2027</v>
      </c>
      <c r="C148" s="27">
        <v>1536770.45903657</v>
      </c>
      <c r="D148" s="28">
        <f t="shared" si="44"/>
        <v>709434.28571427986</v>
      </c>
      <c r="E148" s="28">
        <f t="shared" si="40"/>
        <v>827336.17332229018</v>
      </c>
      <c r="F148" s="27">
        <v>5413.8700580907316</v>
      </c>
      <c r="G148" s="28">
        <f t="shared" si="41"/>
        <v>2403.6754994393427</v>
      </c>
      <c r="H148" s="28">
        <f t="shared" si="42"/>
        <v>2823.7634828396313</v>
      </c>
      <c r="I148" s="28">
        <f t="shared" si="43"/>
        <v>5227.4389822789744</v>
      </c>
    </row>
    <row r="149" spans="2:9" x14ac:dyDescent="0.25">
      <c r="B149" s="26">
        <v>2028</v>
      </c>
      <c r="C149" s="27">
        <v>1578233.9588539612</v>
      </c>
      <c r="D149" s="28">
        <f t="shared" si="44"/>
        <v>803967.99999999441</v>
      </c>
      <c r="E149" s="28">
        <f t="shared" si="40"/>
        <v>774265.95885396679</v>
      </c>
      <c r="F149" s="27">
        <v>5539.9656368863471</v>
      </c>
      <c r="G149" s="28">
        <f t="shared" si="41"/>
        <v>2672.1255449971932</v>
      </c>
      <c r="H149" s="28">
        <f t="shared" si="42"/>
        <v>2628.8861810769477</v>
      </c>
      <c r="I149" s="28">
        <f t="shared" si="43"/>
        <v>5301.0117260741408</v>
      </c>
    </row>
    <row r="150" spans="2:9" x14ac:dyDescent="0.25">
      <c r="B150" s="26">
        <v>2029</v>
      </c>
      <c r="C150" s="27">
        <v>1619667.6062884759</v>
      </c>
      <c r="D150" s="28">
        <f t="shared" si="44"/>
        <v>902790.85714285076</v>
      </c>
      <c r="E150" s="28">
        <f t="shared" si="40"/>
        <v>716876.74914562516</v>
      </c>
      <c r="F150" s="27">
        <v>5677.2013900999818</v>
      </c>
      <c r="G150" s="28">
        <f t="shared" si="41"/>
        <v>2946.3134530103207</v>
      </c>
      <c r="H150" s="28">
        <f t="shared" si="42"/>
        <v>2431.0033800523147</v>
      </c>
      <c r="I150" s="28">
        <f t="shared" si="43"/>
        <v>5377.3168330626359</v>
      </c>
    </row>
    <row r="151" spans="2:9" x14ac:dyDescent="0.25">
      <c r="B151" s="26">
        <v>2030</v>
      </c>
      <c r="C151" s="27">
        <v>1661026.0804002865</v>
      </c>
      <c r="D151" s="28">
        <f t="shared" si="44"/>
        <v>1005902.8571428508</v>
      </c>
      <c r="E151" s="28">
        <f t="shared" si="40"/>
        <v>655123.22325743572</v>
      </c>
      <c r="F151" s="27">
        <v>5826.0534783480334</v>
      </c>
      <c r="G151" s="28">
        <f t="shared" si="41"/>
        <v>3226.9799785294817</v>
      </c>
      <c r="H151" s="28">
        <f t="shared" si="42"/>
        <v>2229.0223114014152</v>
      </c>
      <c r="I151" s="28">
        <f t="shared" si="43"/>
        <v>5456.0022899308969</v>
      </c>
    </row>
    <row r="152" spans="2:9" x14ac:dyDescent="0.25">
      <c r="B152" s="26">
        <v>2031</v>
      </c>
      <c r="C152" s="40">
        <f>$O$175+$O$174*B152+$O$173*B152^2</f>
        <v>1699877.2219293118</v>
      </c>
      <c r="D152" s="28">
        <f t="shared" si="44"/>
        <v>1113303.9999999925</v>
      </c>
      <c r="E152" s="28">
        <f t="shared" ref="E152:E171" si="45">F67</f>
        <v>586573.2219293192</v>
      </c>
      <c r="G152" s="28">
        <f t="shared" ref="G152:G171" si="46">H24</f>
        <v>3512.6772478949083</v>
      </c>
      <c r="H152" s="28">
        <f t="shared" ref="H152:H171" si="47">G67</f>
        <v>1995.7845372202291</v>
      </c>
      <c r="I152" s="28">
        <f t="shared" ref="I152:I171" si="48">G152+H152</f>
        <v>5508.4617851151379</v>
      </c>
    </row>
    <row r="153" spans="2:9" x14ac:dyDescent="0.25">
      <c r="B153" s="26">
        <v>2032</v>
      </c>
      <c r="C153" s="40">
        <f t="shared" ref="C153:C171" si="49">$O$175+$O$174*B153+$O$173*B153^2</f>
        <v>1739712.7580529451</v>
      </c>
      <c r="D153" s="28">
        <f t="shared" si="44"/>
        <v>1224994.285714278</v>
      </c>
      <c r="E153" s="28">
        <f t="shared" si="45"/>
        <v>514718.47233866714</v>
      </c>
      <c r="G153" s="28">
        <f t="shared" si="46"/>
        <v>3802.874585361621</v>
      </c>
      <c r="H153" s="28">
        <f t="shared" si="47"/>
        <v>1751.3025308866104</v>
      </c>
      <c r="I153" s="28">
        <f t="shared" si="48"/>
        <v>5554.177116248231</v>
      </c>
    </row>
    <row r="154" spans="2:9" x14ac:dyDescent="0.25">
      <c r="B154" s="26">
        <v>2033</v>
      </c>
      <c r="C154" s="40">
        <f t="shared" si="49"/>
        <v>1779272.0068622828</v>
      </c>
      <c r="D154" s="28">
        <f t="shared" si="44"/>
        <v>1340973.7142857052</v>
      </c>
      <c r="E154" s="28">
        <f t="shared" si="45"/>
        <v>438298.2925765774</v>
      </c>
      <c r="G154" s="28">
        <f t="shared" si="46"/>
        <v>4097.0413151846305</v>
      </c>
      <c r="H154" s="28">
        <f t="shared" si="47"/>
        <v>1491.286888510172</v>
      </c>
      <c r="I154" s="28">
        <f t="shared" si="48"/>
        <v>5588.3282036948021</v>
      </c>
    </row>
    <row r="155" spans="2:9" x14ac:dyDescent="0.25">
      <c r="B155" s="26">
        <v>2034</v>
      </c>
      <c r="C155" s="40">
        <f t="shared" si="49"/>
        <v>1818554.9683576822</v>
      </c>
      <c r="D155" s="28">
        <f t="shared" si="44"/>
        <v>1461242.2857142764</v>
      </c>
      <c r="E155" s="28">
        <f t="shared" si="45"/>
        <v>357312.68264340586</v>
      </c>
      <c r="G155" s="28">
        <f t="shared" si="46"/>
        <v>4394.6467616189584</v>
      </c>
      <c r="H155" s="28">
        <f t="shared" si="47"/>
        <v>1215.7376100921254</v>
      </c>
      <c r="I155" s="28">
        <f t="shared" si="48"/>
        <v>5610.384371711084</v>
      </c>
    </row>
    <row r="156" spans="2:9" x14ac:dyDescent="0.25">
      <c r="B156" s="26">
        <v>2035</v>
      </c>
      <c r="C156" s="40">
        <f t="shared" si="49"/>
        <v>1857561.6425389051</v>
      </c>
      <c r="D156" s="28">
        <f t="shared" si="44"/>
        <v>1585799.9999999909</v>
      </c>
      <c r="E156" s="28">
        <f t="shared" si="45"/>
        <v>271761.64253891422</v>
      </c>
      <c r="G156" s="28">
        <f t="shared" si="46"/>
        <v>4695.1602489196202</v>
      </c>
      <c r="H156" s="28">
        <f t="shared" si="47"/>
        <v>924.65469563165902</v>
      </c>
      <c r="I156" s="28">
        <f t="shared" si="48"/>
        <v>5619.814944551279</v>
      </c>
    </row>
    <row r="157" spans="2:9" x14ac:dyDescent="0.25">
      <c r="B157" s="26">
        <v>2036</v>
      </c>
      <c r="C157" s="40">
        <f t="shared" si="49"/>
        <v>1896292.0294060707</v>
      </c>
      <c r="D157" s="28">
        <f t="shared" si="44"/>
        <v>1714646.8571428473</v>
      </c>
      <c r="E157" s="28">
        <f t="shared" si="45"/>
        <v>181645.1722632235</v>
      </c>
      <c r="G157" s="28">
        <f t="shared" si="46"/>
        <v>4998.0511013416271</v>
      </c>
      <c r="H157" s="28">
        <f t="shared" si="47"/>
        <v>618.03814512918518</v>
      </c>
      <c r="I157" s="28">
        <f t="shared" si="48"/>
        <v>5616.0892464708122</v>
      </c>
    </row>
    <row r="158" spans="2:9" x14ac:dyDescent="0.25">
      <c r="B158" s="26">
        <v>2037</v>
      </c>
      <c r="C158" s="40">
        <f t="shared" si="49"/>
        <v>1934746.1289587021</v>
      </c>
      <c r="D158" s="28">
        <f t="shared" si="44"/>
        <v>1847782.8571428473</v>
      </c>
      <c r="E158" s="28">
        <f t="shared" si="45"/>
        <v>86963.271815854823</v>
      </c>
      <c r="G158" s="28">
        <f t="shared" si="46"/>
        <v>5302.7886431399993</v>
      </c>
      <c r="H158" s="28">
        <f t="shared" si="47"/>
        <v>295.88795858307424</v>
      </c>
      <c r="I158" s="28">
        <f t="shared" si="48"/>
        <v>5598.6766017230739</v>
      </c>
    </row>
    <row r="159" spans="2:9" x14ac:dyDescent="0.25">
      <c r="B159" s="26">
        <v>2038</v>
      </c>
      <c r="C159" s="40">
        <f t="shared" si="49"/>
        <v>1972923.9411973953</v>
      </c>
      <c r="D159" s="28">
        <f t="shared" si="44"/>
        <v>1972923.9411973956</v>
      </c>
      <c r="E159" s="28">
        <f t="shared" si="45"/>
        <v>0</v>
      </c>
      <c r="G159" s="28">
        <f t="shared" si="46"/>
        <v>5581.4849057667125</v>
      </c>
      <c r="H159" s="28">
        <f t="shared" si="47"/>
        <v>0</v>
      </c>
      <c r="I159" s="28">
        <f t="shared" si="48"/>
        <v>5581.4849057667125</v>
      </c>
    </row>
    <row r="160" spans="2:9" x14ac:dyDescent="0.25">
      <c r="B160" s="26">
        <v>2039</v>
      </c>
      <c r="C160" s="40">
        <f t="shared" si="49"/>
        <v>2010825.466121912</v>
      </c>
      <c r="D160" s="28">
        <f>F32+L75</f>
        <v>2010825.4661219122</v>
      </c>
      <c r="E160" s="28">
        <f t="shared" si="45"/>
        <v>0</v>
      </c>
      <c r="G160" s="28">
        <f t="shared" si="46"/>
        <v>5663.5490526818649</v>
      </c>
      <c r="H160" s="28">
        <f t="shared" si="47"/>
        <v>0</v>
      </c>
      <c r="I160" s="28">
        <f t="shared" si="48"/>
        <v>5663.5490526818649</v>
      </c>
    </row>
    <row r="161" spans="2:18" x14ac:dyDescent="0.25">
      <c r="B161" s="26">
        <v>2040</v>
      </c>
      <c r="C161" s="40">
        <f t="shared" si="49"/>
        <v>2048450.7037320137</v>
      </c>
      <c r="D161" s="28">
        <f t="shared" si="44"/>
        <v>2048450.7037320142</v>
      </c>
      <c r="E161" s="28">
        <f t="shared" si="45"/>
        <v>0</v>
      </c>
      <c r="G161" s="28">
        <f t="shared" si="46"/>
        <v>5742.6873859777079</v>
      </c>
      <c r="H161" s="28">
        <f t="shared" si="47"/>
        <v>0</v>
      </c>
      <c r="I161" s="28">
        <f t="shared" si="48"/>
        <v>5742.6873859777079</v>
      </c>
    </row>
    <row r="162" spans="2:18" x14ac:dyDescent="0.25">
      <c r="B162" s="26">
        <v>2041</v>
      </c>
      <c r="C162" s="40">
        <f t="shared" si="49"/>
        <v>2085799.6540281773</v>
      </c>
      <c r="D162" s="28">
        <f t="shared" si="44"/>
        <v>2085799.6540281775</v>
      </c>
      <c r="E162" s="28">
        <f t="shared" si="45"/>
        <v>0</v>
      </c>
      <c r="G162" s="28">
        <f t="shared" si="46"/>
        <v>5818.9340894027118</v>
      </c>
      <c r="H162" s="28">
        <f t="shared" si="47"/>
        <v>0</v>
      </c>
      <c r="I162" s="28">
        <f t="shared" si="48"/>
        <v>5818.9340894027118</v>
      </c>
    </row>
    <row r="163" spans="2:18" x14ac:dyDescent="0.25">
      <c r="B163" s="26">
        <v>2042</v>
      </c>
      <c r="C163" s="40">
        <f t="shared" si="49"/>
        <v>2122872.3170102835</v>
      </c>
      <c r="D163" s="28">
        <f t="shared" si="44"/>
        <v>2122872.3170102835</v>
      </c>
      <c r="E163" s="28">
        <f t="shared" si="45"/>
        <v>0</v>
      </c>
      <c r="G163" s="28">
        <f t="shared" si="46"/>
        <v>5892.3233467040791</v>
      </c>
      <c r="H163" s="28">
        <f t="shared" si="47"/>
        <v>0</v>
      </c>
      <c r="I163" s="28">
        <f t="shared" si="48"/>
        <v>5892.3233467040791</v>
      </c>
    </row>
    <row r="164" spans="2:18" x14ac:dyDescent="0.25">
      <c r="B164" s="26">
        <v>2043</v>
      </c>
      <c r="C164" s="40">
        <f t="shared" si="49"/>
        <v>2159668.6926778555</v>
      </c>
      <c r="D164" s="28">
        <f t="shared" si="44"/>
        <v>2159668.692677856</v>
      </c>
      <c r="E164" s="28">
        <f t="shared" si="45"/>
        <v>0</v>
      </c>
      <c r="G164" s="28">
        <f t="shared" si="46"/>
        <v>5962.8893416283481</v>
      </c>
      <c r="H164" s="28">
        <f t="shared" si="47"/>
        <v>0</v>
      </c>
      <c r="I164" s="28">
        <f t="shared" si="48"/>
        <v>5962.8893416283481</v>
      </c>
    </row>
    <row r="165" spans="2:18" x14ac:dyDescent="0.25">
      <c r="B165" s="26">
        <v>2044</v>
      </c>
      <c r="C165" s="40">
        <f t="shared" si="49"/>
        <v>2196188.7810314894</v>
      </c>
      <c r="D165" s="28">
        <f t="shared" si="44"/>
        <v>2196188.7810314898</v>
      </c>
      <c r="E165" s="28">
        <f t="shared" si="45"/>
        <v>0</v>
      </c>
      <c r="G165" s="28">
        <f t="shared" si="46"/>
        <v>6030.6662579241356</v>
      </c>
      <c r="H165" s="28">
        <f t="shared" si="47"/>
        <v>0</v>
      </c>
      <c r="I165" s="28">
        <f t="shared" si="48"/>
        <v>6030.6662579241356</v>
      </c>
    </row>
    <row r="166" spans="2:18" x14ac:dyDescent="0.25">
      <c r="B166" s="26">
        <v>2045</v>
      </c>
      <c r="C166" s="40">
        <f t="shared" si="49"/>
        <v>2232432.5820710659</v>
      </c>
      <c r="D166" s="28">
        <f t="shared" si="44"/>
        <v>2232432.5820710664</v>
      </c>
      <c r="E166" s="28">
        <f t="shared" si="45"/>
        <v>0</v>
      </c>
      <c r="G166" s="28">
        <f t="shared" si="46"/>
        <v>6095.6882793386667</v>
      </c>
      <c r="H166" s="28">
        <f t="shared" si="47"/>
        <v>0</v>
      </c>
      <c r="I166" s="28">
        <f t="shared" si="48"/>
        <v>6095.6882793386667</v>
      </c>
      <c r="N166" s="73" t="s">
        <v>38</v>
      </c>
      <c r="O166" s="74"/>
      <c r="P166" s="74"/>
      <c r="Q166" s="74"/>
      <c r="R166" s="75"/>
    </row>
    <row r="167" spans="2:18" x14ac:dyDescent="0.25">
      <c r="B167" s="26">
        <v>2046</v>
      </c>
      <c r="C167" s="40">
        <f t="shared" si="49"/>
        <v>2268400.0957963467</v>
      </c>
      <c r="D167" s="28">
        <f t="shared" si="44"/>
        <v>2268400.0957963471</v>
      </c>
      <c r="E167" s="28">
        <f t="shared" si="45"/>
        <v>0</v>
      </c>
      <c r="G167" s="28">
        <f t="shared" si="46"/>
        <v>6157.989589618981</v>
      </c>
      <c r="H167" s="28">
        <f t="shared" si="47"/>
        <v>0</v>
      </c>
      <c r="I167" s="28">
        <f t="shared" si="48"/>
        <v>6157.989589618981</v>
      </c>
      <c r="N167" s="38"/>
      <c r="O167" s="38"/>
      <c r="P167" s="38"/>
      <c r="Q167" s="38"/>
      <c r="R167" s="38"/>
    </row>
    <row r="168" spans="2:18" x14ac:dyDescent="0.25">
      <c r="B168" s="26">
        <v>2047</v>
      </c>
      <c r="C168" s="40">
        <f t="shared" si="49"/>
        <v>2304091.3222073317</v>
      </c>
      <c r="D168" s="28">
        <f t="shared" si="44"/>
        <v>2304091.3222073317</v>
      </c>
      <c r="E168" s="28">
        <f t="shared" si="45"/>
        <v>0</v>
      </c>
      <c r="G168" s="28">
        <f t="shared" si="46"/>
        <v>6217.6043725125601</v>
      </c>
      <c r="H168" s="28">
        <f t="shared" si="47"/>
        <v>0</v>
      </c>
      <c r="I168" s="28">
        <f t="shared" si="48"/>
        <v>6217.6043725125601</v>
      </c>
      <c r="N168" s="39">
        <f t="array" ref="N168:R172">LINEST(C135:C151,B135:B151^{1,2},1,1)</f>
        <v>-138.14365708631564</v>
      </c>
      <c r="O168" s="39">
        <v>601113.21486537647</v>
      </c>
      <c r="P168" s="39">
        <v>-649323864.29122472</v>
      </c>
      <c r="Q168" s="39" t="e">
        <v>#N/A</v>
      </c>
      <c r="R168" s="39" t="e">
        <v>#N/A</v>
      </c>
    </row>
    <row r="169" spans="2:18" x14ac:dyDescent="0.25">
      <c r="B169" s="26">
        <v>2048</v>
      </c>
      <c r="C169" s="40">
        <f t="shared" si="49"/>
        <v>2339506.2613042593</v>
      </c>
      <c r="D169" s="28">
        <f t="shared" si="44"/>
        <v>2339506.2613042598</v>
      </c>
      <c r="E169" s="28">
        <f t="shared" si="45"/>
        <v>0</v>
      </c>
      <c r="G169" s="28">
        <f t="shared" si="46"/>
        <v>6274.5668117672694</v>
      </c>
      <c r="H169" s="28">
        <f t="shared" si="47"/>
        <v>0</v>
      </c>
      <c r="I169" s="28">
        <f t="shared" si="48"/>
        <v>6274.5668117672694</v>
      </c>
      <c r="N169" s="39">
        <v>239.14143958870778</v>
      </c>
      <c r="O169" s="39">
        <v>967088.54347789567</v>
      </c>
      <c r="P169" s="39">
        <v>977722481.96855688</v>
      </c>
      <c r="Q169" s="39" t="e">
        <v>#N/A</v>
      </c>
      <c r="R169" s="39" t="e">
        <v>#N/A</v>
      </c>
    </row>
    <row r="170" spans="2:18" x14ac:dyDescent="0.25">
      <c r="B170" s="26">
        <v>2049</v>
      </c>
      <c r="C170" s="40">
        <f t="shared" si="49"/>
        <v>2374644.9130871296</v>
      </c>
      <c r="D170" s="28">
        <f t="shared" si="44"/>
        <v>2374644.9130871301</v>
      </c>
      <c r="E170" s="28">
        <f t="shared" si="45"/>
        <v>0</v>
      </c>
      <c r="G170" s="28">
        <f t="shared" si="46"/>
        <v>6328.9110911305625</v>
      </c>
      <c r="H170" s="28">
        <f t="shared" si="47"/>
        <v>0</v>
      </c>
      <c r="I170" s="28">
        <f t="shared" si="48"/>
        <v>6328.9110911305625</v>
      </c>
      <c r="N170" s="39">
        <v>0.99163453264370804</v>
      </c>
      <c r="O170" s="39">
        <v>21055.313943338719</v>
      </c>
      <c r="P170" s="39" t="e">
        <v>#N/A</v>
      </c>
      <c r="Q170" s="39" t="e">
        <v>#N/A</v>
      </c>
      <c r="R170" s="39" t="e">
        <v>#N/A</v>
      </c>
    </row>
    <row r="171" spans="2:18" x14ac:dyDescent="0.25">
      <c r="B171" s="26">
        <v>2050</v>
      </c>
      <c r="C171" s="40">
        <f t="shared" si="49"/>
        <v>2409507.2775554657</v>
      </c>
      <c r="D171" s="28">
        <f t="shared" si="44"/>
        <v>2409507.2775554662</v>
      </c>
      <c r="E171" s="28">
        <f t="shared" si="45"/>
        <v>0</v>
      </c>
      <c r="G171" s="28">
        <f t="shared" si="46"/>
        <v>6380.6713943491841</v>
      </c>
      <c r="H171" s="28">
        <f t="shared" si="47"/>
        <v>0</v>
      </c>
      <c r="I171" s="28">
        <f t="shared" si="48"/>
        <v>6380.6713943491841</v>
      </c>
      <c r="N171" s="39">
        <v>829.77333278158483</v>
      </c>
      <c r="O171" s="39">
        <v>14</v>
      </c>
      <c r="P171" s="39" t="e">
        <v>#N/A</v>
      </c>
      <c r="Q171" s="39" t="e">
        <v>#N/A</v>
      </c>
      <c r="R171" s="39" t="e">
        <v>#N/A</v>
      </c>
    </row>
    <row r="172" spans="2:18" x14ac:dyDescent="0.25">
      <c r="B172" t="s">
        <v>23</v>
      </c>
      <c r="C172" t="s">
        <v>24</v>
      </c>
      <c r="D172" t="s">
        <v>25</v>
      </c>
      <c r="E172" t="s">
        <v>27</v>
      </c>
      <c r="N172" s="39">
        <v>735720592065.51575</v>
      </c>
      <c r="O172" s="39">
        <v>6206567433.5357542</v>
      </c>
      <c r="P172" s="39" t="e">
        <v>#N/A</v>
      </c>
      <c r="Q172" s="39" t="e">
        <v>#N/A</v>
      </c>
      <c r="R172" s="39" t="e">
        <v>#N/A</v>
      </c>
    </row>
    <row r="173" spans="2:18" ht="17.25" x14ac:dyDescent="0.25">
      <c r="N173" s="38" t="s">
        <v>41</v>
      </c>
      <c r="O173" s="39">
        <f t="array" ref="O173:O175">TRANSPOSE(N168:P168)</f>
        <v>-138.14365708631564</v>
      </c>
      <c r="P173" s="38"/>
      <c r="Q173" s="38"/>
      <c r="R173" s="38"/>
    </row>
    <row r="174" spans="2:18" x14ac:dyDescent="0.25">
      <c r="I174" s="2">
        <f>I171-I139</f>
        <v>1596.7357894337456</v>
      </c>
      <c r="N174" s="38" t="s">
        <v>39</v>
      </c>
      <c r="O174" s="39">
        <v>601113.21486537647</v>
      </c>
      <c r="P174" s="38"/>
      <c r="Q174" s="38"/>
      <c r="R174" s="38"/>
    </row>
    <row r="175" spans="2:18" x14ac:dyDescent="0.25">
      <c r="N175" s="38" t="s">
        <v>40</v>
      </c>
      <c r="O175" s="39">
        <v>-649323864.29122472</v>
      </c>
      <c r="P175" s="38"/>
      <c r="Q175" s="38"/>
      <c r="R175" s="38"/>
    </row>
    <row r="178" spans="2:17" x14ac:dyDescent="0.25">
      <c r="N178" s="73" t="s">
        <v>51</v>
      </c>
      <c r="O178" s="74"/>
      <c r="P178" s="74"/>
      <c r="Q178" s="75"/>
    </row>
    <row r="179" spans="2:17" x14ac:dyDescent="0.25">
      <c r="N179" s="46">
        <v>-5.2572005665525562E-5</v>
      </c>
      <c r="O179" s="46">
        <v>0.21452890275684569</v>
      </c>
      <c r="P179" s="46">
        <v>-218.79254802690875</v>
      </c>
      <c r="Q179" s="69" t="s">
        <v>52</v>
      </c>
    </row>
    <row r="180" spans="2:17" x14ac:dyDescent="0.25">
      <c r="N180" s="39">
        <v>1.7064877257679867E-5</v>
      </c>
      <c r="O180" s="39">
        <v>6.8993343775134094E-2</v>
      </c>
      <c r="P180" s="39">
        <v>69.734699412297203</v>
      </c>
      <c r="Q180" s="70"/>
    </row>
    <row r="181" spans="2:17" x14ac:dyDescent="0.25">
      <c r="N181" s="39">
        <v>0.97712452195416344</v>
      </c>
      <c r="O181" s="39">
        <v>1.734919862769587E-3</v>
      </c>
      <c r="P181" s="39" t="e">
        <v>#N/A</v>
      </c>
      <c r="Q181" s="70"/>
    </row>
    <row r="182" spans="2:17" x14ac:dyDescent="0.25">
      <c r="N182" s="39">
        <v>320.36200074035276</v>
      </c>
      <c r="O182" s="39">
        <v>15</v>
      </c>
      <c r="P182" s="39" t="e">
        <v>#N/A</v>
      </c>
      <c r="Q182" s="70"/>
    </row>
    <row r="183" spans="2:17" x14ac:dyDescent="0.25">
      <c r="N183" s="39">
        <v>1.9285452413830967E-3</v>
      </c>
      <c r="O183" s="39">
        <v>4.5149203953486638E-5</v>
      </c>
      <c r="P183" s="39" t="e">
        <v>#N/A</v>
      </c>
      <c r="Q183" s="70"/>
    </row>
    <row r="184" spans="2:17" ht="17.25" x14ac:dyDescent="0.25">
      <c r="N184" s="38" t="s">
        <v>41</v>
      </c>
      <c r="O184" s="39">
        <v>-5.2572005665525562E-5</v>
      </c>
      <c r="P184" s="38"/>
      <c r="Q184" s="70"/>
    </row>
    <row r="185" spans="2:17" x14ac:dyDescent="0.25">
      <c r="N185" s="38" t="s">
        <v>39</v>
      </c>
      <c r="O185" s="39">
        <v>0.21452890275684569</v>
      </c>
      <c r="P185" s="38"/>
      <c r="Q185" s="70"/>
    </row>
    <row r="186" spans="2:17" x14ac:dyDescent="0.25">
      <c r="N186" s="38" t="s">
        <v>40</v>
      </c>
      <c r="O186" s="39">
        <v>-218.79254802690875</v>
      </c>
      <c r="P186" s="38"/>
      <c r="Q186" s="71"/>
    </row>
    <row r="187" spans="2:17" x14ac:dyDescent="0.25">
      <c r="N187" s="42" t="s">
        <v>42</v>
      </c>
      <c r="O187" s="37" t="s">
        <v>34</v>
      </c>
      <c r="P187" s="37" t="s">
        <v>35</v>
      </c>
      <c r="Q187" s="37" t="s">
        <v>43</v>
      </c>
    </row>
    <row r="192" spans="2:17" ht="24" x14ac:dyDescent="0.25">
      <c r="B192" s="9" t="s">
        <v>0</v>
      </c>
      <c r="C192" s="19" t="s">
        <v>65</v>
      </c>
    </row>
    <row r="193" spans="2:16" x14ac:dyDescent="0.25">
      <c r="B193" s="10">
        <v>2013</v>
      </c>
      <c r="C193" s="11">
        <v>4488.9048500498293</v>
      </c>
    </row>
    <row r="194" spans="2:16" x14ac:dyDescent="0.25">
      <c r="B194" s="10">
        <v>2014</v>
      </c>
      <c r="C194" s="11">
        <v>4409.1759291458902</v>
      </c>
    </row>
    <row r="195" spans="2:16" x14ac:dyDescent="0.25">
      <c r="B195" s="10">
        <v>2015</v>
      </c>
      <c r="C195" s="11">
        <v>4697.8044143992256</v>
      </c>
    </row>
    <row r="196" spans="2:16" x14ac:dyDescent="0.25">
      <c r="B196" s="10">
        <v>2016</v>
      </c>
      <c r="C196" s="11">
        <v>4861.015568828896</v>
      </c>
    </row>
    <row r="197" spans="2:16" x14ac:dyDescent="0.25">
      <c r="B197" s="10">
        <v>2017</v>
      </c>
      <c r="C197" s="11">
        <v>4774.6817019902828</v>
      </c>
    </row>
    <row r="198" spans="2:16" x14ac:dyDescent="0.25">
      <c r="B198" s="10">
        <v>2018</v>
      </c>
      <c r="C198" s="11">
        <v>4784.7519434793039</v>
      </c>
    </row>
    <row r="199" spans="2:16" x14ac:dyDescent="0.25">
      <c r="B199" s="10">
        <v>2019</v>
      </c>
      <c r="C199" s="11">
        <v>4809.2963508437269</v>
      </c>
    </row>
    <row r="200" spans="2:16" x14ac:dyDescent="0.25">
      <c r="B200" s="10">
        <v>2020</v>
      </c>
      <c r="C200" s="11">
        <v>4845.536453345142</v>
      </c>
    </row>
    <row r="201" spans="2:16" x14ac:dyDescent="0.25">
      <c r="B201" s="10">
        <v>2021</v>
      </c>
      <c r="C201" s="11">
        <v>4893.1151305214926</v>
      </c>
      <c r="N201" s="72" t="s">
        <v>64</v>
      </c>
      <c r="O201" s="72"/>
      <c r="P201" s="72"/>
    </row>
    <row r="202" spans="2:16" x14ac:dyDescent="0.25">
      <c r="B202" s="10">
        <v>2022</v>
      </c>
      <c r="C202" s="11">
        <v>4952.0423023853336</v>
      </c>
      <c r="N202" s="39">
        <f t="array" ref="N202:P206">LINEST(C197:C210,B197:B210^{1,2},1,1)</f>
        <v>5.650340769505303</v>
      </c>
      <c r="O202" s="39">
        <v>-22785.873341756665</v>
      </c>
      <c r="P202" s="39">
        <v>22976659.976669725</v>
      </c>
    </row>
    <row r="203" spans="2:16" x14ac:dyDescent="0.25">
      <c r="B203" s="10">
        <v>2023</v>
      </c>
      <c r="C203" s="11">
        <v>5022.1493287186813</v>
      </c>
      <c r="N203" s="39">
        <v>1.6232796451648292E-2</v>
      </c>
      <c r="O203" s="39">
        <v>65.694152910657564</v>
      </c>
      <c r="P203" s="39">
        <v>66465.873342586943</v>
      </c>
    </row>
    <row r="204" spans="2:16" x14ac:dyDescent="0.25">
      <c r="B204" s="10">
        <v>2024</v>
      </c>
      <c r="C204" s="11">
        <v>5103.1187691104178</v>
      </c>
      <c r="N204" s="46">
        <v>0.99999468365713307</v>
      </c>
      <c r="O204" s="46">
        <v>0.87596958738614972</v>
      </c>
      <c r="P204" s="38" t="e">
        <v>#N/A</v>
      </c>
    </row>
    <row r="205" spans="2:16" x14ac:dyDescent="0.25">
      <c r="B205" s="10">
        <v>2025</v>
      </c>
      <c r="C205" s="11">
        <v>5195.5160642926385</v>
      </c>
      <c r="N205" s="46">
        <v>1034540.2653073142</v>
      </c>
      <c r="O205" s="46">
        <v>11</v>
      </c>
      <c r="P205" s="38" t="e">
        <v>#N/A</v>
      </c>
    </row>
    <row r="206" spans="2:16" x14ac:dyDescent="0.25">
      <c r="B206" s="10">
        <v>2026</v>
      </c>
      <c r="C206" s="11">
        <v>5299.0832939312513</v>
      </c>
      <c r="N206" s="46">
        <v>1587652.4965647806</v>
      </c>
      <c r="O206" s="46">
        <v>8.4405498982800751</v>
      </c>
      <c r="P206" s="38" t="e">
        <v>#N/A</v>
      </c>
    </row>
    <row r="207" spans="2:16" ht="17.25" x14ac:dyDescent="0.25">
      <c r="B207" s="10">
        <v>2027</v>
      </c>
      <c r="C207" s="11">
        <v>5413.8700580907316</v>
      </c>
      <c r="N207" s="38" t="s">
        <v>41</v>
      </c>
      <c r="O207" s="46">
        <f t="array" ref="O207:O209">TRANSPOSE(N202:P202)</f>
        <v>5.650340769505303</v>
      </c>
      <c r="P207" s="38"/>
    </row>
    <row r="208" spans="2:16" x14ac:dyDescent="0.25">
      <c r="B208" s="10">
        <v>2028</v>
      </c>
      <c r="C208" s="11">
        <v>5539.9656368863471</v>
      </c>
      <c r="N208" s="38" t="s">
        <v>39</v>
      </c>
      <c r="O208" s="46">
        <v>-22785.873341756665</v>
      </c>
      <c r="P208" s="38"/>
    </row>
    <row r="209" spans="1:16" x14ac:dyDescent="0.25">
      <c r="B209" s="10">
        <v>2029</v>
      </c>
      <c r="C209" s="11">
        <v>5677.2013900999818</v>
      </c>
      <c r="N209" s="38" t="s">
        <v>40</v>
      </c>
      <c r="O209" s="46">
        <v>22976659.976669725</v>
      </c>
      <c r="P209" s="38"/>
    </row>
    <row r="210" spans="1:16" x14ac:dyDescent="0.25">
      <c r="B210" s="10">
        <v>2030</v>
      </c>
      <c r="C210" s="11">
        <v>5826.0534783480334</v>
      </c>
    </row>
    <row r="211" spans="1:16" x14ac:dyDescent="0.25">
      <c r="A211">
        <v>1</v>
      </c>
      <c r="B211" s="10">
        <v>2031</v>
      </c>
      <c r="C211" s="11">
        <f>$O$209+$O$208*B211+$O$207*B211^2</f>
        <v>5986.5304813012481</v>
      </c>
    </row>
    <row r="212" spans="1:16" x14ac:dyDescent="0.25">
      <c r="A212">
        <v>2</v>
      </c>
      <c r="B212" s="10">
        <v>2032</v>
      </c>
      <c r="C212" s="11">
        <f t="shared" ref="C212:C230" si="50">$O$209+$O$208*B212+$O$207*B212^2</f>
        <v>6157.9916860498488</v>
      </c>
    </row>
    <row r="213" spans="1:16" x14ac:dyDescent="0.25">
      <c r="A213">
        <v>3</v>
      </c>
      <c r="B213" s="10">
        <v>2033</v>
      </c>
      <c r="C213" s="11">
        <f t="shared" si="50"/>
        <v>6340.7535723261535</v>
      </c>
    </row>
    <row r="214" spans="1:16" x14ac:dyDescent="0.25">
      <c r="A214">
        <v>4</v>
      </c>
      <c r="B214" s="10">
        <v>2034</v>
      </c>
      <c r="C214" s="11">
        <f t="shared" si="50"/>
        <v>6534.8161401487887</v>
      </c>
    </row>
    <row r="215" spans="1:16" x14ac:dyDescent="0.25">
      <c r="A215">
        <v>5</v>
      </c>
      <c r="B215" s="10">
        <v>2035</v>
      </c>
      <c r="C215" s="11">
        <f t="shared" si="50"/>
        <v>6740.179389514029</v>
      </c>
    </row>
    <row r="216" spans="1:16" x14ac:dyDescent="0.25">
      <c r="A216">
        <v>6</v>
      </c>
      <c r="B216" s="10">
        <v>2036</v>
      </c>
      <c r="C216" s="11">
        <f t="shared" si="50"/>
        <v>6956.8433204069734</v>
      </c>
    </row>
    <row r="217" spans="1:16" x14ac:dyDescent="0.25">
      <c r="A217">
        <v>7</v>
      </c>
      <c r="B217" s="10">
        <v>2037</v>
      </c>
      <c r="C217" s="11">
        <f t="shared" si="50"/>
        <v>7184.8079328499734</v>
      </c>
    </row>
    <row r="218" spans="1:16" x14ac:dyDescent="0.25">
      <c r="A218">
        <v>8</v>
      </c>
      <c r="B218" s="10">
        <v>2038</v>
      </c>
      <c r="C218" s="11">
        <f t="shared" si="50"/>
        <v>7424.0732268206775</v>
      </c>
    </row>
    <row r="219" spans="1:16" x14ac:dyDescent="0.25">
      <c r="A219">
        <v>9</v>
      </c>
      <c r="B219" s="10">
        <v>2039</v>
      </c>
      <c r="C219" s="11">
        <f t="shared" si="50"/>
        <v>7674.6392023414373</v>
      </c>
    </row>
    <row r="220" spans="1:16" x14ac:dyDescent="0.25">
      <c r="A220">
        <v>10</v>
      </c>
      <c r="B220" s="10">
        <v>2040</v>
      </c>
      <c r="C220" s="11">
        <f t="shared" si="50"/>
        <v>7936.5058593973517</v>
      </c>
    </row>
    <row r="221" spans="1:16" x14ac:dyDescent="0.25">
      <c r="A221">
        <v>11</v>
      </c>
      <c r="B221" s="10">
        <v>2041</v>
      </c>
      <c r="C221" s="11">
        <f t="shared" si="50"/>
        <v>8209.6731979884207</v>
      </c>
    </row>
    <row r="222" spans="1:16" x14ac:dyDescent="0.25">
      <c r="A222">
        <v>12</v>
      </c>
      <c r="B222" s="10">
        <v>2042</v>
      </c>
      <c r="C222" s="11">
        <f t="shared" si="50"/>
        <v>8494.1412181220949</v>
      </c>
    </row>
    <row r="223" spans="1:16" x14ac:dyDescent="0.25">
      <c r="A223">
        <v>13</v>
      </c>
      <c r="B223" s="10">
        <v>2043</v>
      </c>
      <c r="C223" s="11">
        <f t="shared" si="50"/>
        <v>8789.9099197983742</v>
      </c>
    </row>
    <row r="224" spans="1:16" x14ac:dyDescent="0.25">
      <c r="A224">
        <v>14</v>
      </c>
      <c r="B224" s="10">
        <v>2044</v>
      </c>
      <c r="C224" s="11">
        <f t="shared" si="50"/>
        <v>9096.9793030060828</v>
      </c>
    </row>
    <row r="225" spans="1:3" x14ac:dyDescent="0.25">
      <c r="A225">
        <v>15</v>
      </c>
      <c r="B225" s="10">
        <v>2045</v>
      </c>
      <c r="C225" s="11">
        <f t="shared" si="50"/>
        <v>9415.3493677601218</v>
      </c>
    </row>
    <row r="226" spans="1:3" x14ac:dyDescent="0.25">
      <c r="A226">
        <v>16</v>
      </c>
      <c r="B226" s="10">
        <v>2046</v>
      </c>
      <c r="C226" s="11">
        <f t="shared" si="50"/>
        <v>9745.0201140493155</v>
      </c>
    </row>
    <row r="227" spans="1:3" x14ac:dyDescent="0.25">
      <c r="A227">
        <v>17</v>
      </c>
      <c r="B227" s="10">
        <v>2047</v>
      </c>
      <c r="C227" s="11">
        <f t="shared" si="50"/>
        <v>10085.991541873664</v>
      </c>
    </row>
    <row r="228" spans="1:3" x14ac:dyDescent="0.25">
      <c r="A228">
        <v>18</v>
      </c>
      <c r="B228" s="10">
        <v>2048</v>
      </c>
      <c r="C228" s="11">
        <f t="shared" si="50"/>
        <v>10438.263651244342</v>
      </c>
    </row>
    <row r="229" spans="1:3" x14ac:dyDescent="0.25">
      <c r="A229">
        <v>19</v>
      </c>
      <c r="B229" s="10">
        <v>2049</v>
      </c>
      <c r="C229" s="11">
        <f t="shared" si="50"/>
        <v>10801.836442153901</v>
      </c>
    </row>
    <row r="230" spans="1:3" x14ac:dyDescent="0.25">
      <c r="A230">
        <v>20</v>
      </c>
      <c r="B230" s="10">
        <v>2050</v>
      </c>
      <c r="C230" s="11">
        <f t="shared" si="50"/>
        <v>11176.709914594889</v>
      </c>
    </row>
  </sheetData>
  <mergeCells count="8">
    <mergeCell ref="Q179:Q186"/>
    <mergeCell ref="N201:P201"/>
    <mergeCell ref="E4:H4"/>
    <mergeCell ref="E47:H47"/>
    <mergeCell ref="B90:K90"/>
    <mergeCell ref="N166:R166"/>
    <mergeCell ref="N38:O38"/>
    <mergeCell ref="N178:Q178"/>
  </mergeCells>
  <pageMargins left="0.7" right="0.7" top="0.75" bottom="0.75" header="0.3" footer="0.3"/>
  <ignoredErrors>
    <ignoredError sqref="F53:F55" formulaRange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DE66-DC74-4886-8BE3-1B4AF76C3204}">
  <dimension ref="A2:S230"/>
  <sheetViews>
    <sheetView topLeftCell="I88" zoomScale="80" zoomScaleNormal="80" workbookViewId="0">
      <selection activeCell="J138" sqref="J138"/>
    </sheetView>
  </sheetViews>
  <sheetFormatPr baseColWidth="10" defaultRowHeight="15" x14ac:dyDescent="0.25"/>
  <cols>
    <col min="2" max="4" width="18.140625" customWidth="1"/>
    <col min="5" max="5" width="20.5703125" customWidth="1"/>
    <col min="6" max="6" width="23.5703125" customWidth="1"/>
    <col min="7" max="7" width="23.7109375" customWidth="1"/>
    <col min="8" max="8" width="23.28515625" customWidth="1"/>
    <col min="9" max="9" width="28" customWidth="1"/>
    <col min="10" max="10" width="23.7109375" customWidth="1"/>
    <col min="11" max="12" width="18.140625" customWidth="1"/>
    <col min="13" max="13" width="17" customWidth="1"/>
    <col min="14" max="18" width="18.140625" customWidth="1"/>
  </cols>
  <sheetData>
    <row r="2" spans="1:13" x14ac:dyDescent="0.25">
      <c r="D2">
        <v>1</v>
      </c>
    </row>
    <row r="3" spans="1:13" x14ac:dyDescent="0.25">
      <c r="I3" s="5"/>
      <c r="J3" s="13"/>
      <c r="K3" s="13"/>
      <c r="L3" s="13"/>
      <c r="M3" s="14"/>
    </row>
    <row r="4" spans="1:13" x14ac:dyDescent="0.25">
      <c r="B4" s="32"/>
      <c r="C4" s="33"/>
      <c r="D4" s="33"/>
      <c r="E4" s="68" t="s">
        <v>10</v>
      </c>
      <c r="F4" s="68"/>
      <c r="G4" s="68"/>
      <c r="H4" s="68"/>
      <c r="I4" s="34"/>
      <c r="J4" s="66">
        <v>0.2</v>
      </c>
      <c r="K4" s="13"/>
      <c r="L4" s="13"/>
      <c r="M4" s="14"/>
    </row>
    <row r="5" spans="1:13" ht="45" x14ac:dyDescent="0.25">
      <c r="B5" s="9" t="s">
        <v>0</v>
      </c>
      <c r="C5" s="9" t="s">
        <v>22</v>
      </c>
      <c r="D5" s="9" t="s">
        <v>44</v>
      </c>
      <c r="E5" s="9" t="s">
        <v>33</v>
      </c>
      <c r="F5" s="16" t="s">
        <v>36</v>
      </c>
      <c r="G5" s="16" t="s">
        <v>8</v>
      </c>
      <c r="H5" s="16" t="s">
        <v>9</v>
      </c>
      <c r="I5" s="9" t="s">
        <v>4</v>
      </c>
      <c r="J5" s="50" t="s">
        <v>53</v>
      </c>
      <c r="K5" s="7"/>
      <c r="L5" s="7"/>
      <c r="M5" s="14"/>
    </row>
    <row r="6" spans="1:13" x14ac:dyDescent="0.25">
      <c r="B6" s="10">
        <v>2013</v>
      </c>
      <c r="C6" s="11">
        <v>1073183.6651212492</v>
      </c>
      <c r="D6" s="11">
        <f t="shared" ref="D6:D23" si="0">D49*$D$2-E6</f>
        <v>28898</v>
      </c>
      <c r="E6" s="11"/>
      <c r="F6" s="17"/>
      <c r="G6" s="18"/>
      <c r="H6" s="18"/>
      <c r="I6" s="10"/>
      <c r="J6" s="38"/>
      <c r="K6" s="6"/>
      <c r="L6" s="6"/>
      <c r="M6" s="14"/>
    </row>
    <row r="7" spans="1:13" x14ac:dyDescent="0.25">
      <c r="B7" s="10">
        <v>2014</v>
      </c>
      <c r="C7" s="11">
        <v>976651.16433813574</v>
      </c>
      <c r="D7" s="11">
        <f t="shared" si="0"/>
        <v>28300</v>
      </c>
      <c r="E7" s="11"/>
      <c r="F7" s="17"/>
      <c r="G7" s="18"/>
      <c r="H7" s="18"/>
      <c r="I7" s="10"/>
      <c r="J7" s="38"/>
      <c r="K7" s="6"/>
      <c r="L7" s="6"/>
      <c r="M7" s="8"/>
    </row>
    <row r="8" spans="1:13" x14ac:dyDescent="0.25">
      <c r="B8" s="10">
        <v>2015</v>
      </c>
      <c r="C8" s="11">
        <v>1019571.4085290028</v>
      </c>
      <c r="D8" s="11">
        <f t="shared" si="0"/>
        <v>37202</v>
      </c>
      <c r="E8" s="11"/>
      <c r="F8" s="17"/>
      <c r="G8" s="18"/>
      <c r="H8" s="18"/>
      <c r="I8" s="10"/>
      <c r="J8" s="38"/>
      <c r="K8" s="6"/>
      <c r="L8" s="6"/>
      <c r="M8" s="8"/>
    </row>
    <row r="9" spans="1:13" x14ac:dyDescent="0.25">
      <c r="B9" s="10">
        <v>2016</v>
      </c>
      <c r="C9" s="11">
        <v>1117970.6924468274</v>
      </c>
      <c r="D9" s="11">
        <f t="shared" si="0"/>
        <v>48314</v>
      </c>
      <c r="E9" s="11"/>
      <c r="F9" s="17"/>
      <c r="G9" s="18"/>
      <c r="H9" s="18"/>
      <c r="I9" s="10"/>
      <c r="J9" s="38"/>
      <c r="K9" s="6"/>
      <c r="L9" s="6"/>
      <c r="M9" s="14"/>
    </row>
    <row r="10" spans="1:13" x14ac:dyDescent="0.25">
      <c r="B10" s="10">
        <v>2017</v>
      </c>
      <c r="C10" s="11">
        <v>1053030.9082251894</v>
      </c>
      <c r="D10" s="11">
        <f t="shared" si="0"/>
        <v>47353.142857141793</v>
      </c>
      <c r="E10" s="11"/>
      <c r="F10" s="17"/>
      <c r="G10" s="18"/>
      <c r="H10" s="18"/>
      <c r="I10" s="10"/>
      <c r="J10" s="38"/>
      <c r="K10" s="6"/>
      <c r="L10" s="6"/>
      <c r="M10" s="14"/>
    </row>
    <row r="11" spans="1:13" x14ac:dyDescent="0.25">
      <c r="A11" s="3" t="s">
        <v>3</v>
      </c>
      <c r="B11" s="10">
        <v>2018</v>
      </c>
      <c r="C11" s="11">
        <v>1166385.7116395417</v>
      </c>
      <c r="D11" s="11">
        <f t="shared" si="0"/>
        <v>51443.285714285448</v>
      </c>
      <c r="E11" s="11">
        <v>199</v>
      </c>
      <c r="F11" s="17">
        <f>D11+F10</f>
        <v>51443.285714285448</v>
      </c>
      <c r="G11" s="17">
        <f t="shared" ref="G11:G23" si="1">D11*K97/I11</f>
        <v>190.7124919777599</v>
      </c>
      <c r="H11" s="17">
        <f>H10+G11</f>
        <v>190.7124919777599</v>
      </c>
      <c r="I11" s="12">
        <v>16.155472</v>
      </c>
      <c r="J11" s="38"/>
      <c r="K11" s="6"/>
      <c r="L11" s="6"/>
      <c r="M11" s="14"/>
    </row>
    <row r="12" spans="1:13" x14ac:dyDescent="0.25">
      <c r="B12" s="10">
        <v>2019</v>
      </c>
      <c r="C12" s="11">
        <v>1206991.5861911501</v>
      </c>
      <c r="D12" s="11">
        <f t="shared" si="0"/>
        <v>55651.428571427241</v>
      </c>
      <c r="E12" s="11">
        <v>280</v>
      </c>
      <c r="F12" s="17">
        <f>D12+F11</f>
        <v>107094.71428571269</v>
      </c>
      <c r="G12" s="17">
        <f t="shared" si="1"/>
        <v>193.01920707600496</v>
      </c>
      <c r="H12" s="17">
        <f t="shared" ref="H12:H43" si="2">H11+G12</f>
        <v>383.73169905376483</v>
      </c>
      <c r="I12" s="12">
        <v>16.750673599999999</v>
      </c>
      <c r="J12" s="48">
        <f>100*$J$4/(2030-2019)*(B12-2019)/100</f>
        <v>0</v>
      </c>
      <c r="K12" s="6"/>
      <c r="L12" s="6"/>
      <c r="M12" s="14"/>
    </row>
    <row r="13" spans="1:13" x14ac:dyDescent="0.25">
      <c r="B13" s="10">
        <v>2020</v>
      </c>
      <c r="C13" s="11">
        <v>1247784.1313553418</v>
      </c>
      <c r="D13" s="11">
        <f t="shared" si="0"/>
        <v>59125.651948051425</v>
      </c>
      <c r="E13" s="11">
        <f>J13*D56</f>
        <v>1094.9194805194709</v>
      </c>
      <c r="F13" s="17">
        <f>D13+F12</f>
        <v>166220.3662337641</v>
      </c>
      <c r="G13" s="17">
        <f t="shared" si="1"/>
        <v>192.05852518643152</v>
      </c>
      <c r="H13" s="17">
        <f t="shared" si="2"/>
        <v>575.79022424019638</v>
      </c>
      <c r="I13" s="12">
        <v>17.3883896</v>
      </c>
      <c r="J13" s="48">
        <f t="shared" ref="J13:J43" si="3">100*$J$4/(2030-2019)*(B13-2019)/100</f>
        <v>1.8181818181818181E-2</v>
      </c>
      <c r="K13" s="6"/>
      <c r="L13" s="6"/>
      <c r="M13" s="14"/>
    </row>
    <row r="14" spans="1:13" x14ac:dyDescent="0.25">
      <c r="B14" s="10">
        <v>2021</v>
      </c>
      <c r="C14" s="11">
        <v>1288748.2711188961</v>
      </c>
      <c r="D14" s="11">
        <f t="shared" si="0"/>
        <v>62163.906493506751</v>
      </c>
      <c r="E14" s="11">
        <f t="shared" ref="E14:E43" si="4">J14*D57</f>
        <v>2345.8077922078019</v>
      </c>
      <c r="F14" s="17">
        <f>D14+F13</f>
        <v>228384.27272727084</v>
      </c>
      <c r="G14" s="17">
        <f t="shared" si="1"/>
        <v>188.46940035068351</v>
      </c>
      <c r="H14" s="17">
        <f t="shared" si="2"/>
        <v>764.25962459087987</v>
      </c>
      <c r="I14" s="12">
        <v>18.153648800000003</v>
      </c>
      <c r="J14" s="48">
        <f t="shared" si="3"/>
        <v>3.6363636363636362E-2</v>
      </c>
      <c r="K14" s="6"/>
      <c r="L14" s="6"/>
      <c r="M14" s="14"/>
    </row>
    <row r="15" spans="1:13" x14ac:dyDescent="0.25">
      <c r="B15" s="10">
        <v>2022</v>
      </c>
      <c r="C15" s="11">
        <v>1329857.3224403893</v>
      </c>
      <c r="D15" s="11">
        <f t="shared" si="0"/>
        <v>65046.19220779145</v>
      </c>
      <c r="E15" s="11">
        <f t="shared" si="4"/>
        <v>3752.6649350648913</v>
      </c>
      <c r="F15" s="17">
        <f>D15+F14</f>
        <v>293430.46493506228</v>
      </c>
      <c r="G15" s="17">
        <f t="shared" si="1"/>
        <v>184.01136707244177</v>
      </c>
      <c r="H15" s="17">
        <f t="shared" si="2"/>
        <v>948.27099166332164</v>
      </c>
      <c r="I15" s="12">
        <v>19.003936800000002</v>
      </c>
      <c r="J15" s="48">
        <f t="shared" si="3"/>
        <v>5.4545454545454543E-2</v>
      </c>
      <c r="K15" s="6"/>
      <c r="L15" s="6"/>
      <c r="M15" s="14"/>
    </row>
    <row r="16" spans="1:13" x14ac:dyDescent="0.25">
      <c r="B16" s="10">
        <v>2023</v>
      </c>
      <c r="C16" s="11">
        <v>1371090.8945916586</v>
      </c>
      <c r="D16" s="11">
        <f t="shared" si="0"/>
        <v>67772.509090909094</v>
      </c>
      <c r="E16" s="11">
        <f t="shared" si="4"/>
        <v>5315.4909090909086</v>
      </c>
      <c r="F16" s="17">
        <f t="shared" ref="F16:F22" si="5">D16+F15</f>
        <v>361202.97402597137</v>
      </c>
      <c r="G16" s="17">
        <f t="shared" si="1"/>
        <v>179.32252389706559</v>
      </c>
      <c r="H16" s="17">
        <f t="shared" si="2"/>
        <v>1127.5935155603872</v>
      </c>
      <c r="I16" s="12">
        <v>19.896739199999999</v>
      </c>
      <c r="J16" s="48">
        <f t="shared" si="3"/>
        <v>7.2727272727272724E-2</v>
      </c>
      <c r="K16" s="6"/>
      <c r="L16" s="6"/>
      <c r="M16" s="14"/>
    </row>
    <row r="17" spans="1:13" x14ac:dyDescent="0.25">
      <c r="B17" s="10">
        <v>2024</v>
      </c>
      <c r="C17" s="11">
        <v>1412434.5035978679</v>
      </c>
      <c r="D17" s="11">
        <f t="shared" si="0"/>
        <v>70342.85714285617</v>
      </c>
      <c r="E17" s="11">
        <f t="shared" si="4"/>
        <v>7034.2857142856165</v>
      </c>
      <c r="F17" s="17">
        <f t="shared" si="5"/>
        <v>431545.83116882754</v>
      </c>
      <c r="G17" s="17">
        <f t="shared" si="1"/>
        <v>174.53285676351709</v>
      </c>
      <c r="H17" s="17">
        <f t="shared" si="2"/>
        <v>1302.1263723239044</v>
      </c>
      <c r="I17" s="12">
        <v>20.832056000000001</v>
      </c>
      <c r="J17" s="48">
        <f t="shared" si="3"/>
        <v>9.0909090909090898E-2</v>
      </c>
      <c r="K17" s="6"/>
      <c r="L17" s="6"/>
      <c r="M17" s="14"/>
    </row>
    <row r="18" spans="1:13" x14ac:dyDescent="0.25">
      <c r="B18" s="10">
        <v>2025</v>
      </c>
      <c r="C18" s="11">
        <v>1453842.0175012546</v>
      </c>
      <c r="D18" s="11">
        <f t="shared" si="0"/>
        <v>72757.236363636126</v>
      </c>
      <c r="E18" s="11">
        <f t="shared" si="4"/>
        <v>8909.0493506493203</v>
      </c>
      <c r="F18" s="17">
        <f t="shared" si="5"/>
        <v>504303.0675324637</v>
      </c>
      <c r="G18" s="17">
        <f t="shared" si="1"/>
        <v>169.79604694378511</v>
      </c>
      <c r="H18" s="17">
        <f t="shared" si="2"/>
        <v>1471.9224192676895</v>
      </c>
      <c r="I18" s="12">
        <v>21.809887199999999</v>
      </c>
      <c r="J18" s="48">
        <f>100*$J$4/(2030-2019)*(B18-2019)/100</f>
        <v>0.10909090909090909</v>
      </c>
      <c r="K18" s="6"/>
      <c r="L18" s="6"/>
      <c r="M18" s="14"/>
    </row>
    <row r="19" spans="1:13" x14ac:dyDescent="0.25">
      <c r="B19" s="10">
        <v>2026</v>
      </c>
      <c r="C19" s="11">
        <v>1495296.6218874408</v>
      </c>
      <c r="D19" s="11">
        <f t="shared" si="0"/>
        <v>75015.646753245586</v>
      </c>
      <c r="E19" s="11">
        <f t="shared" si="4"/>
        <v>10939.781818181647</v>
      </c>
      <c r="F19" s="17">
        <f t="shared" si="5"/>
        <v>579318.71428570931</v>
      </c>
      <c r="G19" s="17">
        <f t="shared" si="1"/>
        <v>172.92900830320642</v>
      </c>
      <c r="H19" s="17">
        <f t="shared" si="2"/>
        <v>1644.851427570896</v>
      </c>
      <c r="I19" s="12">
        <v>21.809887199999999</v>
      </c>
      <c r="J19" s="48">
        <f t="shared" si="3"/>
        <v>0.12727272727272726</v>
      </c>
      <c r="K19" s="6"/>
      <c r="L19" s="6"/>
      <c r="M19" s="14"/>
    </row>
    <row r="20" spans="1:13" x14ac:dyDescent="0.25">
      <c r="B20" s="10">
        <v>2027</v>
      </c>
      <c r="C20" s="11">
        <v>1536770.45903657</v>
      </c>
      <c r="D20" s="11">
        <f t="shared" si="0"/>
        <v>77118.088311687854</v>
      </c>
      <c r="E20" s="11">
        <f t="shared" si="4"/>
        <v>13126.483116883039</v>
      </c>
      <c r="F20" s="17">
        <f t="shared" si="5"/>
        <v>656436.80259739712</v>
      </c>
      <c r="G20" s="17">
        <f t="shared" si="1"/>
        <v>176.19841442464391</v>
      </c>
      <c r="H20" s="17">
        <f t="shared" si="2"/>
        <v>1821.04984199554</v>
      </c>
      <c r="I20" s="12">
        <v>21.809887199999999</v>
      </c>
      <c r="J20" s="48">
        <f t="shared" si="3"/>
        <v>0.14545454545454545</v>
      </c>
      <c r="K20" s="6"/>
      <c r="L20" s="6"/>
      <c r="M20" s="14"/>
    </row>
    <row r="21" spans="1:13" x14ac:dyDescent="0.25">
      <c r="B21" s="10">
        <v>2028</v>
      </c>
      <c r="C21" s="11">
        <v>1578233.9588539612</v>
      </c>
      <c r="D21" s="11">
        <f t="shared" si="0"/>
        <v>79064.561038961256</v>
      </c>
      <c r="E21" s="11">
        <f t="shared" si="4"/>
        <v>15469.153246753291</v>
      </c>
      <c r="F21" s="17">
        <f t="shared" si="5"/>
        <v>735501.36363635841</v>
      </c>
      <c r="G21" s="17">
        <f t="shared" si="1"/>
        <v>179.70614103609924</v>
      </c>
      <c r="H21" s="17">
        <f t="shared" si="2"/>
        <v>2000.7559830316393</v>
      </c>
      <c r="I21" s="12">
        <v>21.809887199999999</v>
      </c>
      <c r="J21" s="48">
        <f t="shared" si="3"/>
        <v>0.16363636363636364</v>
      </c>
      <c r="K21" s="6"/>
      <c r="L21" s="6"/>
      <c r="M21" s="14"/>
    </row>
    <row r="22" spans="1:13" x14ac:dyDescent="0.25">
      <c r="B22" s="10">
        <v>2029</v>
      </c>
      <c r="C22" s="11">
        <v>1619667.6062884759</v>
      </c>
      <c r="D22" s="11">
        <f t="shared" si="0"/>
        <v>80855.064935064293</v>
      </c>
      <c r="E22" s="11">
        <f t="shared" si="4"/>
        <v>17967.792207792059</v>
      </c>
      <c r="F22" s="17">
        <f t="shared" si="5"/>
        <v>816356.4285714227</v>
      </c>
      <c r="G22" s="17">
        <f t="shared" si="1"/>
        <v>183.54718757975348</v>
      </c>
      <c r="H22" s="17">
        <f t="shared" si="2"/>
        <v>2184.3031706113929</v>
      </c>
      <c r="I22" s="12">
        <v>21.809887199999999</v>
      </c>
      <c r="J22" s="48">
        <f t="shared" si="3"/>
        <v>0.1818181818181818</v>
      </c>
      <c r="K22" s="6"/>
      <c r="L22" s="6"/>
      <c r="M22" s="14"/>
    </row>
    <row r="23" spans="1:13" x14ac:dyDescent="0.25">
      <c r="B23" s="10">
        <v>2030</v>
      </c>
      <c r="C23" s="11">
        <v>1661026.0804002865</v>
      </c>
      <c r="D23" s="11">
        <f t="shared" si="0"/>
        <v>82489.600000000006</v>
      </c>
      <c r="E23" s="11">
        <f t="shared" si="4"/>
        <v>20622.400000000001</v>
      </c>
      <c r="F23" s="17">
        <f>D23+F22</f>
        <v>898846.02857142268</v>
      </c>
      <c r="G23" s="17">
        <f t="shared" si="1"/>
        <v>187.88411122913794</v>
      </c>
      <c r="H23" s="17">
        <f t="shared" si="2"/>
        <v>2372.1872818405309</v>
      </c>
      <c r="I23" s="12">
        <v>21.809887199999999</v>
      </c>
      <c r="J23" s="48">
        <f t="shared" si="3"/>
        <v>0.2</v>
      </c>
      <c r="K23" s="6"/>
      <c r="L23" s="6"/>
      <c r="M23" s="14"/>
    </row>
    <row r="24" spans="1:13" x14ac:dyDescent="0.25">
      <c r="A24">
        <v>1</v>
      </c>
      <c r="B24" s="10">
        <v>2031</v>
      </c>
      <c r="C24" s="41">
        <f>C152</f>
        <v>1699877.2219293118</v>
      </c>
      <c r="D24" s="11">
        <f t="shared" ref="D24:D43" si="6">D67*$D$2-E24</f>
        <v>83968.166233765398</v>
      </c>
      <c r="E24" s="11">
        <f t="shared" si="4"/>
        <v>23432.976623376391</v>
      </c>
      <c r="F24" s="17">
        <f t="shared" ref="F24:F43" si="7">D24+F23</f>
        <v>982814.1948051881</v>
      </c>
      <c r="G24" s="17">
        <f t="shared" ref="G24:G43" si="8">D24*K110/I24</f>
        <v>191.25179761292966</v>
      </c>
      <c r="H24" s="17">
        <f t="shared" si="2"/>
        <v>2563.4390794534606</v>
      </c>
      <c r="I24" s="12">
        <v>21.809887199999999</v>
      </c>
      <c r="J24" s="48">
        <f t="shared" si="3"/>
        <v>0.21818181818181817</v>
      </c>
      <c r="K24" s="6"/>
      <c r="L24" s="6"/>
    </row>
    <row r="25" spans="1:13" x14ac:dyDescent="0.25">
      <c r="A25">
        <v>2</v>
      </c>
      <c r="B25" s="10">
        <v>2032</v>
      </c>
      <c r="C25" s="41">
        <f t="shared" ref="C25:C43" si="9">C153</f>
        <v>1739712.7580529451</v>
      </c>
      <c r="D25" s="11">
        <f>D68*$D$2-E25</f>
        <v>85290.763636363437</v>
      </c>
      <c r="E25" s="11">
        <f t="shared" si="4"/>
        <v>26399.522077922014</v>
      </c>
      <c r="F25" s="17">
        <f t="shared" si="7"/>
        <v>1068104.9584415515</v>
      </c>
      <c r="G25" s="17">
        <f t="shared" si="8"/>
        <v>194.26423842366339</v>
      </c>
      <c r="H25" s="17">
        <f t="shared" si="2"/>
        <v>2757.7033178771239</v>
      </c>
      <c r="I25" s="12">
        <v>21.809887199999999</v>
      </c>
      <c r="J25" s="48">
        <f t="shared" si="3"/>
        <v>0.23636363636363636</v>
      </c>
      <c r="K25" s="6"/>
      <c r="L25" s="6"/>
    </row>
    <row r="26" spans="1:13" x14ac:dyDescent="0.25">
      <c r="A26">
        <v>3</v>
      </c>
      <c r="B26" s="10">
        <v>2033</v>
      </c>
      <c r="C26" s="41">
        <f t="shared" si="9"/>
        <v>1779272.0068622828</v>
      </c>
      <c r="D26" s="11">
        <f>D69*$D$2-E26</f>
        <v>86457.392207791214</v>
      </c>
      <c r="E26" s="11">
        <f t="shared" si="4"/>
        <v>29522.036363636023</v>
      </c>
      <c r="F26" s="17">
        <f t="shared" si="7"/>
        <v>1154562.3506493429</v>
      </c>
      <c r="G26" s="17">
        <f t="shared" si="8"/>
        <v>196.92143366133246</v>
      </c>
      <c r="H26" s="17">
        <f t="shared" si="2"/>
        <v>2954.6247515384566</v>
      </c>
      <c r="I26" s="12">
        <v>21.809887199999999</v>
      </c>
      <c r="J26" s="48">
        <f t="shared" si="3"/>
        <v>0.25454545454545452</v>
      </c>
      <c r="K26" s="6"/>
      <c r="L26" s="6"/>
    </row>
    <row r="27" spans="1:13" x14ac:dyDescent="0.25">
      <c r="A27">
        <v>4</v>
      </c>
      <c r="B27" s="10">
        <v>2034</v>
      </c>
      <c r="C27" s="41">
        <f t="shared" si="9"/>
        <v>1818554.9683576822</v>
      </c>
      <c r="D27" s="11">
        <f t="shared" si="6"/>
        <v>87468.051948051565</v>
      </c>
      <c r="E27" s="11">
        <f t="shared" si="4"/>
        <v>32800.519480519331</v>
      </c>
      <c r="F27" s="17">
        <f t="shared" si="7"/>
        <v>1242030.4025973945</v>
      </c>
      <c r="G27" s="17">
        <f t="shared" si="8"/>
        <v>199.22338332594336</v>
      </c>
      <c r="H27" s="17">
        <f t="shared" si="2"/>
        <v>3153.8481348644</v>
      </c>
      <c r="I27" s="12">
        <v>21.809887199999999</v>
      </c>
      <c r="J27" s="48">
        <f t="shared" si="3"/>
        <v>0.27272727272727271</v>
      </c>
      <c r="K27" s="6"/>
      <c r="L27" s="6"/>
    </row>
    <row r="28" spans="1:13" x14ac:dyDescent="0.25">
      <c r="A28">
        <v>5</v>
      </c>
      <c r="B28" s="10">
        <v>2035</v>
      </c>
      <c r="C28" s="41">
        <f t="shared" si="9"/>
        <v>1857561.6425389051</v>
      </c>
      <c r="D28" s="11">
        <f t="shared" si="6"/>
        <v>88322.74285714305</v>
      </c>
      <c r="E28" s="11">
        <f t="shared" si="4"/>
        <v>36234.971428571502</v>
      </c>
      <c r="F28" s="17">
        <f t="shared" si="7"/>
        <v>1330353.1454545376</v>
      </c>
      <c r="G28" s="17">
        <f t="shared" si="8"/>
        <v>201.17008741749282</v>
      </c>
      <c r="H28" s="17">
        <f t="shared" si="2"/>
        <v>3355.018222281893</v>
      </c>
      <c r="I28" s="12">
        <v>21.809887199999999</v>
      </c>
      <c r="J28" s="48">
        <f t="shared" si="3"/>
        <v>0.29090909090909089</v>
      </c>
      <c r="K28" s="6"/>
      <c r="L28" s="6"/>
    </row>
    <row r="29" spans="1:13" x14ac:dyDescent="0.25">
      <c r="A29">
        <v>6</v>
      </c>
      <c r="B29" s="10">
        <v>2036</v>
      </c>
      <c r="C29" s="41">
        <f t="shared" si="9"/>
        <v>1896292.0294060707</v>
      </c>
      <c r="D29" s="11">
        <f t="shared" si="6"/>
        <v>89021.464935064374</v>
      </c>
      <c r="E29" s="11">
        <f t="shared" si="4"/>
        <v>39825.392207791963</v>
      </c>
      <c r="F29" s="17">
        <f t="shared" si="7"/>
        <v>1419374.6103896019</v>
      </c>
      <c r="G29" s="17">
        <f t="shared" si="8"/>
        <v>202.76154593597789</v>
      </c>
      <c r="H29" s="17">
        <f t="shared" si="2"/>
        <v>3557.7797682178707</v>
      </c>
      <c r="I29" s="12">
        <v>21.809887199999999</v>
      </c>
      <c r="J29" s="48">
        <f t="shared" si="3"/>
        <v>0.30909090909090908</v>
      </c>
      <c r="K29" s="6"/>
      <c r="L29" s="6"/>
    </row>
    <row r="30" spans="1:13" x14ac:dyDescent="0.25">
      <c r="A30">
        <v>7</v>
      </c>
      <c r="B30" s="10">
        <v>2037</v>
      </c>
      <c r="C30" s="41">
        <f t="shared" si="9"/>
        <v>1934746.1289587021</v>
      </c>
      <c r="D30" s="11">
        <f t="shared" si="6"/>
        <v>89564.218181818185</v>
      </c>
      <c r="E30" s="11">
        <f t="shared" si="4"/>
        <v>43571.781818181815</v>
      </c>
      <c r="F30" s="17">
        <f t="shared" si="7"/>
        <v>1508938.8285714202</v>
      </c>
      <c r="G30" s="17">
        <f t="shared" si="8"/>
        <v>203.99775888140454</v>
      </c>
      <c r="H30" s="17">
        <f t="shared" si="2"/>
        <v>3761.7775270992752</v>
      </c>
      <c r="I30" s="12">
        <v>21.809887199999999</v>
      </c>
      <c r="J30" s="48">
        <f t="shared" si="3"/>
        <v>0.32727272727272727</v>
      </c>
      <c r="K30" s="6"/>
      <c r="L30" s="6"/>
    </row>
    <row r="31" spans="1:13" x14ac:dyDescent="0.25">
      <c r="A31">
        <v>8</v>
      </c>
      <c r="B31" s="10">
        <v>2038</v>
      </c>
      <c r="C31" s="41">
        <f t="shared" si="9"/>
        <v>1972923.9411973953</v>
      </c>
      <c r="D31" s="11">
        <f t="shared" si="6"/>
        <v>81910.527744795254</v>
      </c>
      <c r="E31" s="11">
        <f t="shared" si="4"/>
        <v>43230.556309753047</v>
      </c>
      <c r="F31" s="17">
        <f t="shared" si="7"/>
        <v>1590849.3563162154</v>
      </c>
      <c r="G31" s="17">
        <f t="shared" si="8"/>
        <v>186.56517555716724</v>
      </c>
      <c r="H31" s="17">
        <f t="shared" si="2"/>
        <v>3948.3427026564423</v>
      </c>
      <c r="I31" s="12">
        <v>21.809887199999999</v>
      </c>
      <c r="J31" s="48">
        <f t="shared" si="3"/>
        <v>0.34545454545454546</v>
      </c>
      <c r="K31" s="6"/>
      <c r="L31" s="6"/>
    </row>
    <row r="32" spans="1:13" x14ac:dyDescent="0.25">
      <c r="A32">
        <v>9</v>
      </c>
      <c r="B32" s="10">
        <v>2039</v>
      </c>
      <c r="C32" s="41">
        <f t="shared" si="9"/>
        <v>2010825.466121912</v>
      </c>
      <c r="D32" s="11">
        <f t="shared" si="6"/>
        <v>24119.152224692432</v>
      </c>
      <c r="E32" s="11">
        <f t="shared" si="4"/>
        <v>13782.372699824246</v>
      </c>
      <c r="F32" s="17">
        <f t="shared" si="7"/>
        <v>1614968.5085409079</v>
      </c>
      <c r="G32" s="17">
        <f t="shared" si="8"/>
        <v>54.93547646414364</v>
      </c>
      <c r="H32" s="17">
        <f t="shared" si="2"/>
        <v>4003.2781791205857</v>
      </c>
      <c r="I32" s="12">
        <v>21.809887199999999</v>
      </c>
      <c r="J32" s="48">
        <f t="shared" si="3"/>
        <v>0.36363636363636359</v>
      </c>
      <c r="K32" s="6"/>
      <c r="L32" s="6"/>
    </row>
    <row r="33" spans="1:18" x14ac:dyDescent="0.25">
      <c r="A33">
        <v>10</v>
      </c>
      <c r="B33" s="10">
        <v>2040</v>
      </c>
      <c r="C33" s="41">
        <f t="shared" si="9"/>
        <v>2048450.7037320137</v>
      </c>
      <c r="D33" s="11">
        <f t="shared" si="6"/>
        <v>23259.237795335597</v>
      </c>
      <c r="E33" s="11">
        <f t="shared" si="4"/>
        <v>14365.999814766103</v>
      </c>
      <c r="F33" s="17">
        <f t="shared" si="7"/>
        <v>1638227.7463362436</v>
      </c>
      <c r="G33" s="17">
        <f t="shared" si="8"/>
        <v>52.976874915671829</v>
      </c>
      <c r="H33" s="17">
        <f t="shared" si="2"/>
        <v>4056.2550540362577</v>
      </c>
      <c r="I33" s="12">
        <v>21.809887199999999</v>
      </c>
      <c r="J33" s="48">
        <f t="shared" si="3"/>
        <v>0.38181818181818178</v>
      </c>
      <c r="K33" s="6"/>
      <c r="L33" s="6"/>
    </row>
    <row r="34" spans="1:18" x14ac:dyDescent="0.25">
      <c r="A34">
        <v>11</v>
      </c>
      <c r="B34" s="10">
        <v>2041</v>
      </c>
      <c r="C34" s="41">
        <f t="shared" si="9"/>
        <v>2085799.6540281773</v>
      </c>
      <c r="D34" s="11">
        <f t="shared" si="6"/>
        <v>22409.370177698132</v>
      </c>
      <c r="E34" s="11">
        <f t="shared" si="4"/>
        <v>14939.580118465425</v>
      </c>
      <c r="F34" s="17">
        <f t="shared" si="7"/>
        <v>1660637.1165139417</v>
      </c>
      <c r="G34" s="17">
        <f t="shared" si="8"/>
        <v>51.041156691771597</v>
      </c>
      <c r="H34" s="17">
        <f t="shared" si="2"/>
        <v>4107.2962107280291</v>
      </c>
      <c r="I34" s="12">
        <v>21.809887199999999</v>
      </c>
      <c r="J34" s="48">
        <f t="shared" si="3"/>
        <v>0.4</v>
      </c>
      <c r="K34" s="6"/>
      <c r="L34" s="6"/>
    </row>
    <row r="35" spans="1:18" x14ac:dyDescent="0.25">
      <c r="A35">
        <v>12</v>
      </c>
      <c r="B35" s="10">
        <v>2042</v>
      </c>
      <c r="C35" s="41">
        <f t="shared" si="9"/>
        <v>2122872.3170102835</v>
      </c>
      <c r="D35" s="11">
        <f t="shared" si="6"/>
        <v>21569.549371407247</v>
      </c>
      <c r="E35" s="11">
        <f t="shared" si="4"/>
        <v>15503.113610698962</v>
      </c>
      <c r="F35" s="17">
        <f t="shared" si="7"/>
        <v>1682206.6658853488</v>
      </c>
      <c r="G35" s="17">
        <f t="shared" si="8"/>
        <v>49.128321791593876</v>
      </c>
      <c r="H35" s="17">
        <f t="shared" si="2"/>
        <v>4156.4245325196234</v>
      </c>
      <c r="I35" s="12">
        <v>21.809887199999999</v>
      </c>
      <c r="J35" s="48">
        <f t="shared" si="3"/>
        <v>0.41818181818181821</v>
      </c>
      <c r="K35" s="6"/>
      <c r="L35" s="6"/>
    </row>
    <row r="36" spans="1:18" x14ac:dyDescent="0.25">
      <c r="A36">
        <v>13</v>
      </c>
      <c r="B36" s="10">
        <v>2043</v>
      </c>
      <c r="C36" s="41">
        <f t="shared" si="9"/>
        <v>2159668.6926778555</v>
      </c>
      <c r="D36" s="11">
        <f t="shared" si="6"/>
        <v>20739.775376267869</v>
      </c>
      <c r="E36" s="11">
        <f t="shared" si="4"/>
        <v>16056.600291304154</v>
      </c>
      <c r="F36" s="17">
        <f t="shared" si="7"/>
        <v>1702946.4412616168</v>
      </c>
      <c r="G36" s="17">
        <f t="shared" si="8"/>
        <v>47.238370214694328</v>
      </c>
      <c r="H36" s="17">
        <f t="shared" si="2"/>
        <v>4203.6629027343179</v>
      </c>
      <c r="I36" s="12">
        <v>21.809887199999999</v>
      </c>
      <c r="J36" s="48">
        <f t="shared" si="3"/>
        <v>0.43636363636363634</v>
      </c>
      <c r="K36" s="6"/>
      <c r="L36" s="6"/>
    </row>
    <row r="37" spans="1:18" x14ac:dyDescent="0.25">
      <c r="A37">
        <v>14</v>
      </c>
      <c r="B37" s="10">
        <v>2044</v>
      </c>
      <c r="C37" s="41">
        <f t="shared" si="9"/>
        <v>2196188.7810314894</v>
      </c>
      <c r="D37" s="11">
        <f t="shared" si="6"/>
        <v>19920.048192891209</v>
      </c>
      <c r="E37" s="11">
        <f t="shared" si="4"/>
        <v>16600.040160742672</v>
      </c>
      <c r="F37" s="17">
        <f t="shared" si="7"/>
        <v>1722866.4894545081</v>
      </c>
      <c r="G37" s="17">
        <f t="shared" si="8"/>
        <v>45.37130196246509</v>
      </c>
      <c r="H37" s="17">
        <f t="shared" si="2"/>
        <v>4249.0342046967826</v>
      </c>
      <c r="I37" s="12">
        <v>21.809887199999999</v>
      </c>
      <c r="J37" s="48">
        <f t="shared" si="3"/>
        <v>0.45454545454545453</v>
      </c>
      <c r="K37" s="6"/>
      <c r="L37" s="6"/>
    </row>
    <row r="38" spans="1:18" x14ac:dyDescent="0.25">
      <c r="A38">
        <v>15</v>
      </c>
      <c r="B38" s="10">
        <v>2045</v>
      </c>
      <c r="C38" s="41">
        <f t="shared" si="9"/>
        <v>2232432.5820710659</v>
      </c>
      <c r="D38" s="11">
        <f t="shared" si="6"/>
        <v>19110.367820867625</v>
      </c>
      <c r="E38" s="11">
        <f t="shared" si="4"/>
        <v>17133.433218708906</v>
      </c>
      <c r="F38" s="17">
        <f t="shared" si="7"/>
        <v>1741976.8572753756</v>
      </c>
      <c r="G38" s="17">
        <f t="shared" si="8"/>
        <v>43.527117033973148</v>
      </c>
      <c r="H38" s="17">
        <f t="shared" si="2"/>
        <v>4292.5613217307555</v>
      </c>
      <c r="I38" s="12">
        <v>21.809887199999999</v>
      </c>
      <c r="J38" s="48">
        <f t="shared" si="3"/>
        <v>0.47272727272727272</v>
      </c>
      <c r="K38" s="6"/>
      <c r="L38" s="6"/>
      <c r="N38" s="76" t="s">
        <v>45</v>
      </c>
      <c r="O38" s="76"/>
    </row>
    <row r="39" spans="1:18" x14ac:dyDescent="0.25">
      <c r="A39">
        <v>16</v>
      </c>
      <c r="B39" s="10">
        <v>2046</v>
      </c>
      <c r="C39" s="41">
        <f t="shared" si="9"/>
        <v>2268400.0957963467</v>
      </c>
      <c r="D39" s="11">
        <f t="shared" si="6"/>
        <v>18310.734260142934</v>
      </c>
      <c r="E39" s="11">
        <f t="shared" si="4"/>
        <v>17656.779465137828</v>
      </c>
      <c r="F39" s="17">
        <f t="shared" si="7"/>
        <v>1760287.5915355186</v>
      </c>
      <c r="G39" s="17">
        <f t="shared" si="8"/>
        <v>41.70581542909509</v>
      </c>
      <c r="H39" s="17">
        <f t="shared" si="2"/>
        <v>4334.2671371598508</v>
      </c>
      <c r="I39" s="12">
        <v>21.809887199999999</v>
      </c>
      <c r="J39" s="48">
        <f t="shared" si="3"/>
        <v>0.49090909090909085</v>
      </c>
      <c r="K39" s="6"/>
      <c r="L39" s="6"/>
      <c r="N39" s="38" t="s">
        <v>46</v>
      </c>
      <c r="O39" s="38">
        <v>4289.1428571428569</v>
      </c>
    </row>
    <row r="40" spans="1:18" x14ac:dyDescent="0.25">
      <c r="A40">
        <v>17</v>
      </c>
      <c r="B40" s="10">
        <v>2047</v>
      </c>
      <c r="C40" s="41">
        <f t="shared" si="9"/>
        <v>2304091.3222073317</v>
      </c>
      <c r="D40" s="11">
        <f t="shared" si="6"/>
        <v>17521.147510847179</v>
      </c>
      <c r="E40" s="11">
        <f t="shared" si="4"/>
        <v>18170.078900137814</v>
      </c>
      <c r="F40" s="17">
        <f t="shared" si="7"/>
        <v>1777808.7390463657</v>
      </c>
      <c r="G40" s="17">
        <f t="shared" si="8"/>
        <v>39.907397148127096</v>
      </c>
      <c r="H40" s="17">
        <f t="shared" si="2"/>
        <v>4374.1745343079783</v>
      </c>
      <c r="I40" s="12">
        <v>21.809887199999999</v>
      </c>
      <c r="J40" s="48">
        <f t="shared" si="3"/>
        <v>0.50909090909090904</v>
      </c>
      <c r="K40" s="6"/>
      <c r="L40" s="6"/>
      <c r="N40" s="38" t="s">
        <v>47</v>
      </c>
      <c r="O40" s="38">
        <v>-8603848</v>
      </c>
    </row>
    <row r="41" spans="1:18" x14ac:dyDescent="0.25">
      <c r="A41">
        <v>18</v>
      </c>
      <c r="B41" s="10">
        <v>2048</v>
      </c>
      <c r="C41" s="41">
        <f t="shared" si="9"/>
        <v>2339506.2613042593</v>
      </c>
      <c r="D41" s="11">
        <f t="shared" si="6"/>
        <v>16741.607573093068</v>
      </c>
      <c r="E41" s="11">
        <f t="shared" si="4"/>
        <v>18673.331523834575</v>
      </c>
      <c r="F41" s="17">
        <f t="shared" si="7"/>
        <v>1794550.3466194589</v>
      </c>
      <c r="G41" s="17">
        <f t="shared" si="8"/>
        <v>38.131862191325894</v>
      </c>
      <c r="H41" s="17">
        <f t="shared" si="2"/>
        <v>4412.3063964993044</v>
      </c>
      <c r="I41" s="12">
        <v>21.809887199999999</v>
      </c>
      <c r="J41" s="48">
        <f t="shared" si="3"/>
        <v>0.52727272727272723</v>
      </c>
      <c r="K41" s="6"/>
      <c r="L41" s="6"/>
      <c r="N41" s="38" t="s">
        <v>48</v>
      </c>
      <c r="O41" s="38">
        <v>0.87207427576387386</v>
      </c>
    </row>
    <row r="42" spans="1:18" x14ac:dyDescent="0.25">
      <c r="A42">
        <v>19</v>
      </c>
      <c r="B42" s="10">
        <v>2049</v>
      </c>
      <c r="C42" s="41">
        <f t="shared" si="9"/>
        <v>2374644.9130871296</v>
      </c>
      <c r="D42" s="11">
        <f t="shared" si="6"/>
        <v>15972.114446759224</v>
      </c>
      <c r="E42" s="11">
        <f t="shared" si="4"/>
        <v>19166.537336111069</v>
      </c>
      <c r="F42" s="17">
        <f t="shared" si="7"/>
        <v>1810522.4610662181</v>
      </c>
      <c r="G42" s="17">
        <f t="shared" si="8"/>
        <v>36.379210558415018</v>
      </c>
      <c r="H42" s="17">
        <f t="shared" si="2"/>
        <v>4448.6856070577196</v>
      </c>
      <c r="I42" s="12">
        <v>21.809887199999999</v>
      </c>
      <c r="J42" s="48">
        <f t="shared" si="3"/>
        <v>0.54545454545454541</v>
      </c>
      <c r="K42" s="6"/>
      <c r="L42" s="6"/>
      <c r="N42" s="45" t="s">
        <v>49</v>
      </c>
      <c r="O42" s="37" t="s">
        <v>50</v>
      </c>
    </row>
    <row r="43" spans="1:18" x14ac:dyDescent="0.25">
      <c r="A43">
        <v>20</v>
      </c>
      <c r="B43" s="10">
        <v>2050</v>
      </c>
      <c r="C43" s="41">
        <f t="shared" si="9"/>
        <v>2409507.2775554657</v>
      </c>
      <c r="D43" s="11">
        <f t="shared" si="6"/>
        <v>15212.668131637576</v>
      </c>
      <c r="E43" s="11">
        <f t="shared" si="4"/>
        <v>19649.696336698529</v>
      </c>
      <c r="F43" s="17">
        <f t="shared" si="7"/>
        <v>1825735.1291978557</v>
      </c>
      <c r="G43" s="17">
        <f t="shared" si="8"/>
        <v>34.64944224892055</v>
      </c>
      <c r="H43" s="17">
        <f t="shared" si="2"/>
        <v>4483.33504930664</v>
      </c>
      <c r="I43" s="12">
        <v>21.809887199999999</v>
      </c>
      <c r="J43" s="48">
        <f t="shared" si="3"/>
        <v>0.5636363636363636</v>
      </c>
      <c r="K43" s="6"/>
      <c r="L43" s="6"/>
    </row>
    <row r="44" spans="1:18" x14ac:dyDescent="0.25">
      <c r="B44" t="s">
        <v>23</v>
      </c>
      <c r="C44" t="s">
        <v>24</v>
      </c>
      <c r="D44" t="s">
        <v>25</v>
      </c>
      <c r="E44" t="s">
        <v>27</v>
      </c>
      <c r="F44" s="5"/>
      <c r="J44" s="5"/>
      <c r="K44" s="6"/>
      <c r="L44" s="6"/>
    </row>
    <row r="45" spans="1:18" x14ac:dyDescent="0.25">
      <c r="B45" t="s">
        <v>32</v>
      </c>
      <c r="F45" s="5"/>
      <c r="J45" s="5"/>
      <c r="K45" s="6"/>
      <c r="L45" s="6"/>
    </row>
    <row r="46" spans="1:18" x14ac:dyDescent="0.25">
      <c r="F46" s="5"/>
      <c r="I46" s="5"/>
      <c r="J46" s="5"/>
      <c r="K46" s="5"/>
      <c r="L46" s="5"/>
    </row>
    <row r="47" spans="1:18" x14ac:dyDescent="0.25">
      <c r="B47" s="32"/>
      <c r="C47" s="33"/>
      <c r="D47" s="33"/>
      <c r="E47" s="68" t="s">
        <v>11</v>
      </c>
      <c r="F47" s="68"/>
      <c r="G47" s="68"/>
      <c r="H47" s="68"/>
      <c r="I47" s="34"/>
      <c r="J47" s="5"/>
      <c r="K47" s="5"/>
      <c r="L47" s="5"/>
    </row>
    <row r="48" spans="1:18" ht="45" x14ac:dyDescent="0.25">
      <c r="B48" s="9" t="s">
        <v>0</v>
      </c>
      <c r="C48" s="9" t="s">
        <v>22</v>
      </c>
      <c r="D48" s="9" t="s">
        <v>61</v>
      </c>
      <c r="E48" s="16"/>
      <c r="F48" s="16" t="s">
        <v>6</v>
      </c>
      <c r="G48" s="16" t="s">
        <v>7</v>
      </c>
      <c r="H48" s="16"/>
      <c r="I48" s="9" t="s">
        <v>4</v>
      </c>
      <c r="J48" s="63" t="s">
        <v>53</v>
      </c>
      <c r="K48" s="49" t="s">
        <v>33</v>
      </c>
      <c r="L48" s="50" t="s">
        <v>63</v>
      </c>
      <c r="N48" s="9" t="s">
        <v>54</v>
      </c>
      <c r="O48" s="16" t="s">
        <v>57</v>
      </c>
      <c r="P48" s="36" t="s">
        <v>58</v>
      </c>
      <c r="Q48" s="16" t="s">
        <v>59</v>
      </c>
      <c r="R48" s="54" t="s">
        <v>60</v>
      </c>
    </row>
    <row r="49" spans="1:19" x14ac:dyDescent="0.25">
      <c r="B49" s="10">
        <v>2013</v>
      </c>
      <c r="C49" s="11">
        <v>1073183.6651212492</v>
      </c>
      <c r="D49" s="29">
        <v>28898</v>
      </c>
      <c r="E49" s="17"/>
      <c r="F49" s="17">
        <f>C6-F6-SUM($E$6:E6)</f>
        <v>1073183.6651212492</v>
      </c>
      <c r="G49" s="17">
        <f t="shared" ref="G49:G66" si="10">F49*K92/I49</f>
        <v>4488.9048500498293</v>
      </c>
      <c r="H49" s="17"/>
      <c r="I49" s="12">
        <v>14.6</v>
      </c>
      <c r="J49" s="64"/>
      <c r="K49" s="38"/>
      <c r="L49" s="38"/>
      <c r="N49" s="29">
        <v>28898</v>
      </c>
      <c r="O49" s="18"/>
      <c r="P49" s="58">
        <v>0</v>
      </c>
      <c r="Q49" s="18">
        <f>P49*C49+(1-P49)*O49</f>
        <v>0</v>
      </c>
      <c r="R49" s="55">
        <v>0</v>
      </c>
    </row>
    <row r="50" spans="1:19" x14ac:dyDescent="0.25">
      <c r="B50" s="10">
        <v>2014</v>
      </c>
      <c r="C50" s="11">
        <v>976651.16433813574</v>
      </c>
      <c r="D50" s="29">
        <v>28300</v>
      </c>
      <c r="E50" s="17"/>
      <c r="F50" s="17">
        <f>C7-F7-SUM($E$6:E7)</f>
        <v>976651.16433813574</v>
      </c>
      <c r="G50" s="17">
        <f t="shared" si="10"/>
        <v>4409.1759291458893</v>
      </c>
      <c r="H50" s="17"/>
      <c r="I50" s="12">
        <v>14.6</v>
      </c>
      <c r="J50" s="64"/>
      <c r="K50" s="38"/>
      <c r="L50" s="38"/>
      <c r="N50" s="29">
        <v>28300</v>
      </c>
      <c r="O50" s="18"/>
      <c r="P50" s="58">
        <v>0</v>
      </c>
      <c r="Q50" s="18">
        <f t="shared" ref="Q50:Q86" si="11">P50*C50+(1-P50)*O50</f>
        <v>0</v>
      </c>
      <c r="R50" s="4">
        <f t="shared" ref="R50:R52" si="12">Q50-Q49</f>
        <v>0</v>
      </c>
    </row>
    <row r="51" spans="1:19" x14ac:dyDescent="0.25">
      <c r="B51" s="10">
        <v>2015</v>
      </c>
      <c r="C51" s="11">
        <v>1019571.4085290028</v>
      </c>
      <c r="D51" s="29">
        <v>37202</v>
      </c>
      <c r="E51" s="17"/>
      <c r="F51" s="17">
        <f>C8-F8-SUM($E$6:E8)</f>
        <v>1019571.4085290028</v>
      </c>
      <c r="G51" s="17">
        <f t="shared" si="10"/>
        <v>4697.8044143992256</v>
      </c>
      <c r="H51" s="17"/>
      <c r="I51" s="12">
        <v>14.6</v>
      </c>
      <c r="J51" s="64"/>
      <c r="K51" s="38"/>
      <c r="L51" s="38"/>
      <c r="N51" s="29">
        <v>37202</v>
      </c>
      <c r="O51" s="18"/>
      <c r="P51" s="58">
        <v>0</v>
      </c>
      <c r="Q51" s="18">
        <f t="shared" si="11"/>
        <v>0</v>
      </c>
      <c r="R51" s="4">
        <f t="shared" si="12"/>
        <v>0</v>
      </c>
    </row>
    <row r="52" spans="1:19" x14ac:dyDescent="0.25">
      <c r="B52" s="10">
        <v>2016</v>
      </c>
      <c r="C52" s="11">
        <v>1117970.6924468274</v>
      </c>
      <c r="D52" s="29">
        <v>48314</v>
      </c>
      <c r="E52" s="17"/>
      <c r="F52" s="17">
        <f>C9-F9-SUM($E$6:E9)</f>
        <v>1117970.6924468274</v>
      </c>
      <c r="G52" s="17">
        <f t="shared" si="10"/>
        <v>4861.0155688288969</v>
      </c>
      <c r="H52" s="17"/>
      <c r="I52" s="12">
        <v>14.6</v>
      </c>
      <c r="J52" s="64"/>
      <c r="K52" s="38"/>
      <c r="L52" s="38"/>
      <c r="N52" s="29">
        <v>48314</v>
      </c>
      <c r="O52" s="18"/>
      <c r="P52" s="58">
        <v>0</v>
      </c>
      <c r="Q52" s="18">
        <f t="shared" si="11"/>
        <v>0</v>
      </c>
      <c r="R52" s="4">
        <f t="shared" si="12"/>
        <v>0</v>
      </c>
    </row>
    <row r="53" spans="1:19" x14ac:dyDescent="0.25">
      <c r="B53" s="10">
        <v>2017</v>
      </c>
      <c r="C53" s="11">
        <v>1053030.9082251894</v>
      </c>
      <c r="D53" s="29">
        <v>47353.142857141793</v>
      </c>
      <c r="E53" s="17"/>
      <c r="F53" s="17">
        <f>C10-F10-SUM($E$6:E10)</f>
        <v>1053030.9082251894</v>
      </c>
      <c r="G53" s="17">
        <f t="shared" si="10"/>
        <v>4774.6817019902837</v>
      </c>
      <c r="H53" s="17"/>
      <c r="I53" s="12">
        <v>14.6</v>
      </c>
      <c r="J53" s="64"/>
      <c r="K53" s="38"/>
      <c r="L53" s="38"/>
      <c r="N53" s="29">
        <v>47353.142857141793</v>
      </c>
      <c r="O53" s="18"/>
      <c r="P53" s="58">
        <v>0</v>
      </c>
      <c r="Q53" s="18">
        <f t="shared" si="11"/>
        <v>0</v>
      </c>
      <c r="R53" s="4">
        <f>Q53-Q52</f>
        <v>0</v>
      </c>
    </row>
    <row r="54" spans="1:19" x14ac:dyDescent="0.25">
      <c r="A54" s="3" t="s">
        <v>3</v>
      </c>
      <c r="B54" s="10">
        <v>2018</v>
      </c>
      <c r="C54" s="11">
        <v>1166385.7116395417</v>
      </c>
      <c r="D54" s="29">
        <f>R54</f>
        <v>51642.285714285448</v>
      </c>
      <c r="E54" s="17">
        <f>E53+D54</f>
        <v>51642.285714285448</v>
      </c>
      <c r="F54" s="17">
        <f>C11-F11-SUM($E$6:E11)</f>
        <v>1114743.4259252562</v>
      </c>
      <c r="G54" s="17">
        <f t="shared" si="10"/>
        <v>4572.9047607923612</v>
      </c>
      <c r="H54" s="17"/>
      <c r="I54" s="12">
        <v>14.6</v>
      </c>
      <c r="J54" s="64"/>
      <c r="K54" s="38">
        <v>199</v>
      </c>
      <c r="L54" s="43">
        <f>L53+K54</f>
        <v>199</v>
      </c>
      <c r="N54" s="29">
        <v>51642.285714285448</v>
      </c>
      <c r="O54" s="17">
        <f>O53+N54</f>
        <v>51642.285714285448</v>
      </c>
      <c r="P54" s="58">
        <f>IF(C54&gt;O54,0,1)</f>
        <v>0</v>
      </c>
      <c r="Q54" s="17">
        <f t="shared" si="11"/>
        <v>51642.285714285448</v>
      </c>
      <c r="R54" s="4">
        <f>Q54-Q53</f>
        <v>51642.285714285448</v>
      </c>
    </row>
    <row r="55" spans="1:19" x14ac:dyDescent="0.25">
      <c r="B55" s="10">
        <v>2019</v>
      </c>
      <c r="C55" s="11">
        <v>1206991.5861911501</v>
      </c>
      <c r="D55" s="29">
        <v>55931.428571427241</v>
      </c>
      <c r="E55" s="17">
        <f t="shared" ref="E55:E86" si="13">E54+D55</f>
        <v>107573.71428571269</v>
      </c>
      <c r="F55" s="17">
        <f>C12-F12-SUM($E$6:E12)</f>
        <v>1099417.8719054374</v>
      </c>
      <c r="G55" s="17">
        <f t="shared" si="10"/>
        <v>4374.8827982689982</v>
      </c>
      <c r="H55" s="17"/>
      <c r="I55" s="12">
        <v>14.6</v>
      </c>
      <c r="J55" s="65">
        <f>J12</f>
        <v>0</v>
      </c>
      <c r="K55" s="43">
        <v>280</v>
      </c>
      <c r="L55" s="43">
        <f>L54+K55</f>
        <v>479</v>
      </c>
      <c r="N55" s="29">
        <v>55931.428571427241</v>
      </c>
      <c r="O55" s="17">
        <f t="shared" ref="O55:O86" si="14">O54+N55</f>
        <v>107573.71428571269</v>
      </c>
      <c r="P55" s="58">
        <f t="shared" ref="P55:P86" si="15">IF(C55&gt;O55,0,1)</f>
        <v>0</v>
      </c>
      <c r="Q55" s="17">
        <f t="shared" si="11"/>
        <v>107573.71428571269</v>
      </c>
      <c r="R55" s="4">
        <f>Q55-Q54</f>
        <v>55931.428571427241</v>
      </c>
      <c r="S55" s="2"/>
    </row>
    <row r="56" spans="1:19" x14ac:dyDescent="0.25">
      <c r="B56" s="10">
        <v>2020</v>
      </c>
      <c r="C56" s="11">
        <v>1247784.1313553418</v>
      </c>
      <c r="D56" s="29">
        <v>60220.571428570896</v>
      </c>
      <c r="E56" s="17">
        <f t="shared" si="13"/>
        <v>167794.28571428359</v>
      </c>
      <c r="F56" s="17">
        <f>C13-F13-SUM($E$6:E13)</f>
        <v>1079989.8456410584</v>
      </c>
      <c r="G56" s="17">
        <f t="shared" si="10"/>
        <v>4178.1480588033046</v>
      </c>
      <c r="H56" s="17"/>
      <c r="I56" s="12">
        <v>14.6</v>
      </c>
      <c r="J56" s="65">
        <f t="shared" ref="J56:J86" si="16">J13</f>
        <v>1.8181818181818181E-2</v>
      </c>
      <c r="K56" s="43">
        <f t="shared" ref="K56:K86" si="17">J56*D56</f>
        <v>1094.9194805194709</v>
      </c>
      <c r="L56" s="43">
        <f t="shared" ref="L56:L86" si="18">L55+K56</f>
        <v>1573.9194805194709</v>
      </c>
      <c r="N56" s="29">
        <v>60220.571428570896</v>
      </c>
      <c r="O56" s="17">
        <f t="shared" si="14"/>
        <v>167794.28571428359</v>
      </c>
      <c r="P56" s="58">
        <f t="shared" si="15"/>
        <v>0</v>
      </c>
      <c r="Q56" s="17">
        <f t="shared" si="11"/>
        <v>167794.28571428359</v>
      </c>
      <c r="R56" s="4">
        <f t="shared" ref="R56:R86" si="19">Q56-Q55</f>
        <v>60220.571428570896</v>
      </c>
      <c r="S56" s="2"/>
    </row>
    <row r="57" spans="1:19" x14ac:dyDescent="0.25">
      <c r="B57" s="10">
        <v>2021</v>
      </c>
      <c r="C57" s="11">
        <v>1288748.2711188961</v>
      </c>
      <c r="D57" s="29">
        <v>64509.714285714552</v>
      </c>
      <c r="E57" s="17">
        <f t="shared" si="13"/>
        <v>232303.99999999814</v>
      </c>
      <c r="F57" s="17">
        <f>C14-F14-SUM($E$6:E14)</f>
        <v>1056444.2711188979</v>
      </c>
      <c r="G57" s="17">
        <f t="shared" si="10"/>
        <v>3982.5406391933921</v>
      </c>
      <c r="H57" s="17"/>
      <c r="I57" s="12">
        <v>14.6</v>
      </c>
      <c r="J57" s="65">
        <f t="shared" si="16"/>
        <v>3.6363636363636362E-2</v>
      </c>
      <c r="K57" s="43">
        <f t="shared" si="17"/>
        <v>2345.8077922078019</v>
      </c>
      <c r="L57" s="43">
        <f t="shared" si="18"/>
        <v>3919.727272727273</v>
      </c>
      <c r="N57" s="29">
        <v>64509.714285714552</v>
      </c>
      <c r="O57" s="17">
        <f t="shared" si="14"/>
        <v>232303.99999999814</v>
      </c>
      <c r="P57" s="58">
        <f t="shared" si="15"/>
        <v>0</v>
      </c>
      <c r="Q57" s="17">
        <f t="shared" si="11"/>
        <v>232303.99999999814</v>
      </c>
      <c r="R57" s="4">
        <f t="shared" si="19"/>
        <v>64509.714285714552</v>
      </c>
      <c r="S57" s="2"/>
    </row>
    <row r="58" spans="1:19" x14ac:dyDescent="0.25">
      <c r="B58" s="10">
        <v>2022</v>
      </c>
      <c r="C58" s="11">
        <v>1329857.3224403893</v>
      </c>
      <c r="D58" s="29">
        <v>68798.857142856345</v>
      </c>
      <c r="E58" s="17">
        <f t="shared" si="13"/>
        <v>301102.85714285448</v>
      </c>
      <c r="F58" s="17">
        <f>C15-F15-SUM($E$6:E15)</f>
        <v>1028754.4652975349</v>
      </c>
      <c r="G58" s="17">
        <f t="shared" si="10"/>
        <v>3788.1330883649975</v>
      </c>
      <c r="H58" s="17"/>
      <c r="I58" s="12">
        <v>14.6</v>
      </c>
      <c r="J58" s="65">
        <f t="shared" si="16"/>
        <v>5.4545454545454543E-2</v>
      </c>
      <c r="K58" s="43">
        <f t="shared" si="17"/>
        <v>3752.6649350648913</v>
      </c>
      <c r="L58" s="43">
        <f t="shared" si="18"/>
        <v>7672.3922077921643</v>
      </c>
      <c r="N58" s="29">
        <v>68798.857142856345</v>
      </c>
      <c r="O58" s="17">
        <f t="shared" si="14"/>
        <v>301102.85714285448</v>
      </c>
      <c r="P58" s="58">
        <f t="shared" si="15"/>
        <v>0</v>
      </c>
      <c r="Q58" s="17">
        <f t="shared" si="11"/>
        <v>301102.85714285448</v>
      </c>
      <c r="R58" s="4">
        <f t="shared" si="19"/>
        <v>68798.857142856345</v>
      </c>
      <c r="S58" s="2"/>
    </row>
    <row r="59" spans="1:19" x14ac:dyDescent="0.25">
      <c r="B59" s="10">
        <v>2023</v>
      </c>
      <c r="C59" s="11">
        <v>1371090.8945916586</v>
      </c>
      <c r="D59" s="29">
        <v>73088</v>
      </c>
      <c r="E59" s="17">
        <f t="shared" si="13"/>
        <v>374190.85714285448</v>
      </c>
      <c r="F59" s="17">
        <f>C16-F16-SUM($E$6:E16)</f>
        <v>996900.03744880413</v>
      </c>
      <c r="G59" s="17">
        <f t="shared" si="10"/>
        <v>3594.6941276091529</v>
      </c>
      <c r="H59" s="17"/>
      <c r="I59" s="12">
        <v>14.6</v>
      </c>
      <c r="J59" s="65">
        <f t="shared" si="16"/>
        <v>7.2727272727272724E-2</v>
      </c>
      <c r="K59" s="43">
        <f t="shared" si="17"/>
        <v>5315.4909090909086</v>
      </c>
      <c r="L59" s="43">
        <f t="shared" si="18"/>
        <v>12987.883116883073</v>
      </c>
      <c r="N59" s="29">
        <v>73088</v>
      </c>
      <c r="O59" s="17">
        <f t="shared" si="14"/>
        <v>374190.85714285448</v>
      </c>
      <c r="P59" s="58">
        <f t="shared" si="15"/>
        <v>0</v>
      </c>
      <c r="Q59" s="17">
        <f t="shared" si="11"/>
        <v>374190.85714285448</v>
      </c>
      <c r="R59" s="4">
        <f t="shared" si="19"/>
        <v>73088</v>
      </c>
      <c r="S59" s="2"/>
    </row>
    <row r="60" spans="1:19" x14ac:dyDescent="0.25">
      <c r="B60" s="10">
        <v>2024</v>
      </c>
      <c r="C60" s="11">
        <v>1412434.5035978679</v>
      </c>
      <c r="D60" s="29">
        <v>77377.142857141793</v>
      </c>
      <c r="E60" s="17">
        <f t="shared" si="13"/>
        <v>451567.99999999627</v>
      </c>
      <c r="F60" s="17">
        <f>C17-F17-SUM($E$6:E17)</f>
        <v>960866.50359787163</v>
      </c>
      <c r="G60" s="17">
        <f t="shared" si="10"/>
        <v>3401.7275357727162</v>
      </c>
      <c r="H60" s="17"/>
      <c r="I60" s="12">
        <v>14.6</v>
      </c>
      <c r="J60" s="65">
        <f t="shared" si="16"/>
        <v>9.0909090909090898E-2</v>
      </c>
      <c r="K60" s="43">
        <f t="shared" si="17"/>
        <v>7034.2857142856165</v>
      </c>
      <c r="L60" s="43">
        <f t="shared" si="18"/>
        <v>20022.168831168688</v>
      </c>
      <c r="N60" s="29">
        <v>77377.142857141793</v>
      </c>
      <c r="O60" s="17">
        <f t="shared" si="14"/>
        <v>451567.99999999627</v>
      </c>
      <c r="P60" s="58">
        <f t="shared" si="15"/>
        <v>0</v>
      </c>
      <c r="Q60" s="17">
        <f t="shared" si="11"/>
        <v>451567.99999999627</v>
      </c>
      <c r="R60" s="4">
        <f t="shared" si="19"/>
        <v>77377.142857141793</v>
      </c>
      <c r="S60" s="2"/>
    </row>
    <row r="61" spans="1:19" x14ac:dyDescent="0.25">
      <c r="B61" s="10">
        <v>2025</v>
      </c>
      <c r="C61" s="11">
        <v>1453842.0175012546</v>
      </c>
      <c r="D61" s="29">
        <v>81666.285714285448</v>
      </c>
      <c r="E61" s="17">
        <f t="shared" si="13"/>
        <v>533234.28571428172</v>
      </c>
      <c r="F61" s="17">
        <f>C18-F18-SUM($E$6:E18)</f>
        <v>920607.73178697284</v>
      </c>
      <c r="G61" s="17">
        <f t="shared" si="10"/>
        <v>3209.4200578255795</v>
      </c>
      <c r="H61" s="17"/>
      <c r="I61" s="12">
        <v>14.6</v>
      </c>
      <c r="J61" s="65">
        <f t="shared" si="16"/>
        <v>0.10909090909090909</v>
      </c>
      <c r="K61" s="43">
        <f t="shared" si="17"/>
        <v>8909.0493506493203</v>
      </c>
      <c r="L61" s="43">
        <f t="shared" si="18"/>
        <v>28931.218181818011</v>
      </c>
      <c r="N61" s="29">
        <v>81666.285714285448</v>
      </c>
      <c r="O61" s="17">
        <f t="shared" si="14"/>
        <v>533234.28571428172</v>
      </c>
      <c r="P61" s="58">
        <f t="shared" si="15"/>
        <v>0</v>
      </c>
      <c r="Q61" s="17">
        <f t="shared" si="11"/>
        <v>533234.28571428172</v>
      </c>
      <c r="R61" s="4">
        <f t="shared" si="19"/>
        <v>81666.285714285448</v>
      </c>
      <c r="S61" s="2"/>
    </row>
    <row r="62" spans="1:19" x14ac:dyDescent="0.25">
      <c r="B62" s="10">
        <v>2026</v>
      </c>
      <c r="C62" s="11">
        <v>1495296.6218874408</v>
      </c>
      <c r="D62" s="29">
        <v>85955.428571427241</v>
      </c>
      <c r="E62" s="17">
        <f t="shared" si="13"/>
        <v>619189.71428570896</v>
      </c>
      <c r="F62" s="17">
        <f>C19-F19-SUM($E$6:E19)</f>
        <v>876106.90760173183</v>
      </c>
      <c r="G62" s="17">
        <f t="shared" si="10"/>
        <v>3016.9885445153573</v>
      </c>
      <c r="H62" s="17"/>
      <c r="I62" s="12">
        <v>14.6</v>
      </c>
      <c r="J62" s="65">
        <f t="shared" si="16"/>
        <v>0.12727272727272726</v>
      </c>
      <c r="K62" s="43">
        <f t="shared" si="17"/>
        <v>10939.781818181647</v>
      </c>
      <c r="L62" s="43">
        <f t="shared" si="18"/>
        <v>39870.999999999658</v>
      </c>
      <c r="N62" s="29">
        <v>85955.428571427241</v>
      </c>
      <c r="O62" s="17">
        <f t="shared" si="14"/>
        <v>619189.71428570896</v>
      </c>
      <c r="P62" s="58">
        <f t="shared" si="15"/>
        <v>0</v>
      </c>
      <c r="Q62" s="17">
        <f t="shared" si="11"/>
        <v>619189.71428570896</v>
      </c>
      <c r="R62" s="4">
        <f t="shared" si="19"/>
        <v>85955.428571427241</v>
      </c>
      <c r="S62" s="2"/>
    </row>
    <row r="63" spans="1:19" x14ac:dyDescent="0.25">
      <c r="B63" s="10">
        <v>2027</v>
      </c>
      <c r="C63" s="11">
        <v>1536770.45903657</v>
      </c>
      <c r="D63" s="29">
        <v>90244.571428570896</v>
      </c>
      <c r="E63" s="17">
        <f t="shared" si="13"/>
        <v>709434.28571427986</v>
      </c>
      <c r="F63" s="17">
        <f>C20-F20-SUM($E$6:E20)</f>
        <v>827336.17332229018</v>
      </c>
      <c r="G63" s="17">
        <f t="shared" si="10"/>
        <v>2823.7634828396313</v>
      </c>
      <c r="H63" s="17"/>
      <c r="I63" s="12">
        <v>14.6</v>
      </c>
      <c r="J63" s="65">
        <f t="shared" si="16"/>
        <v>0.14545454545454545</v>
      </c>
      <c r="K63" s="43">
        <f t="shared" si="17"/>
        <v>13126.483116883039</v>
      </c>
      <c r="L63" s="43">
        <f t="shared" si="18"/>
        <v>52997.483116882693</v>
      </c>
      <c r="N63" s="29">
        <v>90244.571428570896</v>
      </c>
      <c r="O63" s="17">
        <f t="shared" si="14"/>
        <v>709434.28571427986</v>
      </c>
      <c r="P63" s="58">
        <f t="shared" si="15"/>
        <v>0</v>
      </c>
      <c r="Q63" s="17">
        <f t="shared" si="11"/>
        <v>709434.28571427986</v>
      </c>
      <c r="R63" s="4">
        <f t="shared" si="19"/>
        <v>90244.571428570896</v>
      </c>
      <c r="S63" s="2"/>
    </row>
    <row r="64" spans="1:19" x14ac:dyDescent="0.25">
      <c r="B64" s="10">
        <v>2028</v>
      </c>
      <c r="C64" s="11">
        <v>1578233.9588539612</v>
      </c>
      <c r="D64" s="29">
        <v>94533.714285714552</v>
      </c>
      <c r="E64" s="17">
        <f t="shared" si="13"/>
        <v>803967.99999999441</v>
      </c>
      <c r="F64" s="17">
        <f>C21-F21-SUM($E$6:E21)</f>
        <v>774265.95885396679</v>
      </c>
      <c r="G64" s="17">
        <f t="shared" si="10"/>
        <v>2628.8861810769477</v>
      </c>
      <c r="H64" s="17"/>
      <c r="I64" s="12">
        <v>14.6</v>
      </c>
      <c r="J64" s="65">
        <f t="shared" si="16"/>
        <v>0.16363636363636364</v>
      </c>
      <c r="K64" s="43">
        <f t="shared" si="17"/>
        <v>15469.153246753291</v>
      </c>
      <c r="L64" s="43">
        <f t="shared" si="18"/>
        <v>68466.636363635989</v>
      </c>
      <c r="N64" s="29">
        <v>94533.714285714552</v>
      </c>
      <c r="O64" s="17">
        <f t="shared" si="14"/>
        <v>803967.99999999441</v>
      </c>
      <c r="P64" s="58">
        <f t="shared" si="15"/>
        <v>0</v>
      </c>
      <c r="Q64" s="17">
        <f t="shared" si="11"/>
        <v>803967.99999999441</v>
      </c>
      <c r="R64" s="4">
        <f t="shared" si="19"/>
        <v>94533.714285714552</v>
      </c>
      <c r="S64" s="2"/>
    </row>
    <row r="65" spans="1:19" x14ac:dyDescent="0.25">
      <c r="B65" s="10">
        <v>2029</v>
      </c>
      <c r="C65" s="11">
        <v>1619667.6062884759</v>
      </c>
      <c r="D65" s="29">
        <v>98822.857142856345</v>
      </c>
      <c r="E65" s="17">
        <f t="shared" si="13"/>
        <v>902790.85714285076</v>
      </c>
      <c r="F65" s="17">
        <f>C22-F22-SUM($E$6:E22)</f>
        <v>716876.74914562516</v>
      </c>
      <c r="G65" s="17">
        <f t="shared" si="10"/>
        <v>2431.0033800523147</v>
      </c>
      <c r="H65" s="17"/>
      <c r="I65" s="12">
        <v>14.6</v>
      </c>
      <c r="J65" s="65">
        <f t="shared" si="16"/>
        <v>0.1818181818181818</v>
      </c>
      <c r="K65" s="43">
        <f t="shared" si="17"/>
        <v>17967.792207792059</v>
      </c>
      <c r="L65" s="43">
        <f t="shared" si="18"/>
        <v>86434.428571428056</v>
      </c>
      <c r="N65" s="29">
        <v>98822.857142856345</v>
      </c>
      <c r="O65" s="17">
        <f t="shared" si="14"/>
        <v>902790.85714285076</v>
      </c>
      <c r="P65" s="58">
        <f t="shared" si="15"/>
        <v>0</v>
      </c>
      <c r="Q65" s="17">
        <f t="shared" si="11"/>
        <v>902790.85714285076</v>
      </c>
      <c r="R65" s="4">
        <f t="shared" si="19"/>
        <v>98822.857142856345</v>
      </c>
      <c r="S65" s="2"/>
    </row>
    <row r="66" spans="1:19" x14ac:dyDescent="0.25">
      <c r="B66" s="10">
        <v>2030</v>
      </c>
      <c r="C66" s="11">
        <v>1661026.0804002865</v>
      </c>
      <c r="D66" s="29">
        <v>103112</v>
      </c>
      <c r="E66" s="17">
        <f t="shared" si="13"/>
        <v>1005902.8571428508</v>
      </c>
      <c r="F66" s="17">
        <f>C23-F23-SUM($E$6:E23)</f>
        <v>655123.22325743572</v>
      </c>
      <c r="G66" s="17">
        <f t="shared" si="10"/>
        <v>2229.0223114014152</v>
      </c>
      <c r="H66" s="17"/>
      <c r="I66" s="12">
        <v>14.6</v>
      </c>
      <c r="J66" s="65">
        <f t="shared" si="16"/>
        <v>0.2</v>
      </c>
      <c r="K66" s="43">
        <f t="shared" si="17"/>
        <v>20622.400000000001</v>
      </c>
      <c r="L66" s="43">
        <f t="shared" si="18"/>
        <v>107056.82857142805</v>
      </c>
      <c r="N66" s="29">
        <v>103112</v>
      </c>
      <c r="O66" s="17">
        <f t="shared" si="14"/>
        <v>1005902.8571428508</v>
      </c>
      <c r="P66" s="58">
        <f t="shared" si="15"/>
        <v>0</v>
      </c>
      <c r="Q66" s="17">
        <f t="shared" si="11"/>
        <v>1005902.8571428508</v>
      </c>
      <c r="R66" s="4">
        <f t="shared" si="19"/>
        <v>103112</v>
      </c>
      <c r="S66" s="2"/>
    </row>
    <row r="67" spans="1:19" x14ac:dyDescent="0.25">
      <c r="A67">
        <v>1</v>
      </c>
      <c r="B67" s="10">
        <v>2031</v>
      </c>
      <c r="C67" s="43">
        <f>C152</f>
        <v>1699877.2219293118</v>
      </c>
      <c r="D67" s="44">
        <v>107401.14285714179</v>
      </c>
      <c r="E67" s="17">
        <f t="shared" si="13"/>
        <v>1113303.9999999925</v>
      </c>
      <c r="F67" s="17">
        <f>C24-F24-SUM($E$6:E24)</f>
        <v>586573.2219293192</v>
      </c>
      <c r="G67" s="17">
        <f t="shared" ref="G67:G86" si="20">F67*K110/I67</f>
        <v>1995.7845372202291</v>
      </c>
      <c r="H67" s="17"/>
      <c r="I67" s="12">
        <v>14.6</v>
      </c>
      <c r="J67" s="65">
        <f t="shared" si="16"/>
        <v>0.21818181818181817</v>
      </c>
      <c r="K67" s="43">
        <f t="shared" si="17"/>
        <v>23432.976623376391</v>
      </c>
      <c r="L67" s="43">
        <f t="shared" si="18"/>
        <v>130489.80519480444</v>
      </c>
      <c r="N67" s="44">
        <v>107401.14285714179</v>
      </c>
      <c r="O67" s="17">
        <f t="shared" si="14"/>
        <v>1113303.9999999925</v>
      </c>
      <c r="P67" s="58">
        <f t="shared" si="15"/>
        <v>0</v>
      </c>
      <c r="Q67" s="17">
        <f t="shared" si="11"/>
        <v>1113303.9999999925</v>
      </c>
      <c r="R67" s="4">
        <f t="shared" si="19"/>
        <v>107401.14285714179</v>
      </c>
      <c r="S67" s="2"/>
    </row>
    <row r="68" spans="1:19" x14ac:dyDescent="0.25">
      <c r="A68">
        <v>2</v>
      </c>
      <c r="B68" s="10">
        <v>2032</v>
      </c>
      <c r="C68" s="43">
        <f t="shared" ref="C68:C86" si="21">C153</f>
        <v>1739712.7580529451</v>
      </c>
      <c r="D68" s="44">
        <v>111690.28571428545</v>
      </c>
      <c r="E68" s="17">
        <f t="shared" si="13"/>
        <v>1224994.285714278</v>
      </c>
      <c r="F68" s="17">
        <f>C25-F25-SUM($E$6:E25)</f>
        <v>514718.47233866714</v>
      </c>
      <c r="G68" s="17">
        <f t="shared" si="20"/>
        <v>1751.3025308866104</v>
      </c>
      <c r="H68" s="17"/>
      <c r="I68" s="12">
        <v>14.6</v>
      </c>
      <c r="J68" s="65">
        <f t="shared" si="16"/>
        <v>0.23636363636363636</v>
      </c>
      <c r="K68" s="43">
        <f t="shared" si="17"/>
        <v>26399.522077922014</v>
      </c>
      <c r="L68" s="43">
        <f t="shared" si="18"/>
        <v>156889.32727272646</v>
      </c>
      <c r="N68" s="44">
        <v>111690.28571428545</v>
      </c>
      <c r="O68" s="17">
        <f t="shared" si="14"/>
        <v>1224994.285714278</v>
      </c>
      <c r="P68" s="58">
        <f t="shared" si="15"/>
        <v>0</v>
      </c>
      <c r="Q68" s="17">
        <f t="shared" si="11"/>
        <v>1224994.285714278</v>
      </c>
      <c r="R68" s="4">
        <f t="shared" si="19"/>
        <v>111690.28571428545</v>
      </c>
      <c r="S68" s="2"/>
    </row>
    <row r="69" spans="1:19" x14ac:dyDescent="0.25">
      <c r="A69">
        <v>3</v>
      </c>
      <c r="B69" s="10">
        <v>2033</v>
      </c>
      <c r="C69" s="43">
        <f t="shared" si="21"/>
        <v>1779272.0068622828</v>
      </c>
      <c r="D69" s="44">
        <v>115979.42857142724</v>
      </c>
      <c r="E69" s="17">
        <f t="shared" si="13"/>
        <v>1340973.7142857052</v>
      </c>
      <c r="F69" s="17">
        <f>C26-F26-SUM($E$6:E26)</f>
        <v>438298.2925765774</v>
      </c>
      <c r="G69" s="17">
        <f t="shared" si="20"/>
        <v>1491.286888510172</v>
      </c>
      <c r="H69" s="17"/>
      <c r="I69" s="12">
        <v>14.6</v>
      </c>
      <c r="J69" s="65">
        <f t="shared" si="16"/>
        <v>0.25454545454545452</v>
      </c>
      <c r="K69" s="43">
        <f t="shared" si="17"/>
        <v>29522.036363636023</v>
      </c>
      <c r="L69" s="43">
        <f t="shared" si="18"/>
        <v>186411.36363636248</v>
      </c>
      <c r="N69" s="44">
        <v>115979.42857142724</v>
      </c>
      <c r="O69" s="17">
        <f t="shared" si="14"/>
        <v>1340973.7142857052</v>
      </c>
      <c r="P69" s="58">
        <f t="shared" si="15"/>
        <v>0</v>
      </c>
      <c r="Q69" s="17">
        <f t="shared" si="11"/>
        <v>1340973.7142857052</v>
      </c>
      <c r="R69" s="4">
        <f t="shared" si="19"/>
        <v>115979.42857142724</v>
      </c>
      <c r="S69" s="2"/>
    </row>
    <row r="70" spans="1:19" x14ac:dyDescent="0.25">
      <c r="A70">
        <v>4</v>
      </c>
      <c r="B70" s="10">
        <v>2034</v>
      </c>
      <c r="C70" s="43">
        <f t="shared" si="21"/>
        <v>1818554.9683576822</v>
      </c>
      <c r="D70" s="44">
        <v>120268.5714285709</v>
      </c>
      <c r="E70" s="17">
        <f t="shared" si="13"/>
        <v>1461242.2857142761</v>
      </c>
      <c r="F70" s="17">
        <f>C27-F27-SUM($E$6:E27)</f>
        <v>357312.68264340586</v>
      </c>
      <c r="G70" s="17">
        <f t="shared" si="20"/>
        <v>1215.7376100921254</v>
      </c>
      <c r="H70" s="17"/>
      <c r="I70" s="12">
        <v>14.6</v>
      </c>
      <c r="J70" s="65">
        <f t="shared" si="16"/>
        <v>0.27272727272727271</v>
      </c>
      <c r="K70" s="43">
        <f t="shared" si="17"/>
        <v>32800.519480519331</v>
      </c>
      <c r="L70" s="43">
        <f t="shared" si="18"/>
        <v>219211.88311688183</v>
      </c>
      <c r="N70" s="44">
        <v>120268.5714285709</v>
      </c>
      <c r="O70" s="17">
        <f t="shared" si="14"/>
        <v>1461242.2857142761</v>
      </c>
      <c r="P70" s="58">
        <f t="shared" si="15"/>
        <v>0</v>
      </c>
      <c r="Q70" s="17">
        <f t="shared" si="11"/>
        <v>1461242.2857142761</v>
      </c>
      <c r="R70" s="4">
        <f t="shared" si="19"/>
        <v>120268.5714285709</v>
      </c>
      <c r="S70" s="2"/>
    </row>
    <row r="71" spans="1:19" x14ac:dyDescent="0.25">
      <c r="A71">
        <v>5</v>
      </c>
      <c r="B71" s="10">
        <v>2035</v>
      </c>
      <c r="C71" s="43">
        <f t="shared" si="21"/>
        <v>1857561.6425389051</v>
      </c>
      <c r="D71" s="44">
        <v>124557.71428571455</v>
      </c>
      <c r="E71" s="17">
        <f t="shared" si="13"/>
        <v>1585799.9999999907</v>
      </c>
      <c r="F71" s="17">
        <f>C28-F28-SUM($E$6:E28)</f>
        <v>271761.64253891422</v>
      </c>
      <c r="G71" s="17">
        <f t="shared" si="20"/>
        <v>924.65469563165902</v>
      </c>
      <c r="H71" s="17"/>
      <c r="I71" s="12">
        <v>14.6</v>
      </c>
      <c r="J71" s="65">
        <f t="shared" si="16"/>
        <v>0.29090909090909089</v>
      </c>
      <c r="K71" s="43">
        <f t="shared" si="17"/>
        <v>36234.971428571502</v>
      </c>
      <c r="L71" s="43">
        <f t="shared" si="18"/>
        <v>255446.85454545333</v>
      </c>
      <c r="N71" s="44">
        <v>124557.71428571455</v>
      </c>
      <c r="O71" s="17">
        <f t="shared" si="14"/>
        <v>1585799.9999999907</v>
      </c>
      <c r="P71" s="58">
        <f t="shared" si="15"/>
        <v>0</v>
      </c>
      <c r="Q71" s="17">
        <f t="shared" si="11"/>
        <v>1585799.9999999907</v>
      </c>
      <c r="R71" s="4">
        <f t="shared" si="19"/>
        <v>124557.71428571455</v>
      </c>
      <c r="S71" s="2"/>
    </row>
    <row r="72" spans="1:19" x14ac:dyDescent="0.25">
      <c r="A72">
        <v>6</v>
      </c>
      <c r="B72" s="10">
        <v>2036</v>
      </c>
      <c r="C72" s="43">
        <f t="shared" si="21"/>
        <v>1896292.0294060707</v>
      </c>
      <c r="D72" s="44">
        <v>128846.85714285634</v>
      </c>
      <c r="E72" s="17">
        <f t="shared" si="13"/>
        <v>1714646.857142847</v>
      </c>
      <c r="F72" s="17">
        <f>C29-F29-SUM($E$6:E29)</f>
        <v>181645.1722632235</v>
      </c>
      <c r="G72" s="17">
        <f t="shared" si="20"/>
        <v>618.03814512918518</v>
      </c>
      <c r="H72" s="17"/>
      <c r="I72" s="12">
        <v>14.6</v>
      </c>
      <c r="J72" s="65">
        <f t="shared" si="16"/>
        <v>0.30909090909090908</v>
      </c>
      <c r="K72" s="43">
        <f t="shared" si="17"/>
        <v>39825.392207791963</v>
      </c>
      <c r="L72" s="43">
        <f t="shared" si="18"/>
        <v>295272.2467532453</v>
      </c>
      <c r="N72" s="44">
        <v>128846.85714285634</v>
      </c>
      <c r="O72" s="17">
        <f t="shared" si="14"/>
        <v>1714646.857142847</v>
      </c>
      <c r="P72" s="58">
        <f t="shared" si="15"/>
        <v>0</v>
      </c>
      <c r="Q72" s="17">
        <f t="shared" si="11"/>
        <v>1714646.857142847</v>
      </c>
      <c r="R72" s="4">
        <f t="shared" si="19"/>
        <v>128846.85714285634</v>
      </c>
      <c r="S72" s="2"/>
    </row>
    <row r="73" spans="1:19" x14ac:dyDescent="0.25">
      <c r="A73">
        <v>7</v>
      </c>
      <c r="B73" s="10">
        <v>2037</v>
      </c>
      <c r="C73" s="43">
        <f t="shared" si="21"/>
        <v>1934746.1289587021</v>
      </c>
      <c r="D73" s="44">
        <v>133136</v>
      </c>
      <c r="E73" s="17">
        <f t="shared" si="13"/>
        <v>1847782.857142847</v>
      </c>
      <c r="F73" s="17">
        <f>C30-F30-SUM($E$6:E30)</f>
        <v>86963.271815854823</v>
      </c>
      <c r="G73" s="17">
        <f t="shared" si="20"/>
        <v>295.88795858307424</v>
      </c>
      <c r="H73" s="17"/>
      <c r="I73" s="12">
        <v>14.6</v>
      </c>
      <c r="J73" s="65">
        <f t="shared" si="16"/>
        <v>0.32727272727272727</v>
      </c>
      <c r="K73" s="43">
        <f t="shared" si="17"/>
        <v>43571.781818181815</v>
      </c>
      <c r="L73" s="43">
        <f t="shared" si="18"/>
        <v>338844.0285714271</v>
      </c>
      <c r="N73" s="44">
        <v>133136</v>
      </c>
      <c r="O73" s="17">
        <f t="shared" si="14"/>
        <v>1847782.857142847</v>
      </c>
      <c r="P73" s="58">
        <f t="shared" si="15"/>
        <v>0</v>
      </c>
      <c r="Q73" s="17">
        <f t="shared" si="11"/>
        <v>1847782.857142847</v>
      </c>
      <c r="R73" s="4">
        <f t="shared" si="19"/>
        <v>133136</v>
      </c>
      <c r="S73" s="2"/>
    </row>
    <row r="74" spans="1:19" x14ac:dyDescent="0.25">
      <c r="A74">
        <v>8</v>
      </c>
      <c r="B74" s="10">
        <v>2038</v>
      </c>
      <c r="C74" s="43">
        <f t="shared" si="21"/>
        <v>1972923.9411973953</v>
      </c>
      <c r="D74" s="44">
        <v>125141.08405454829</v>
      </c>
      <c r="E74" s="17">
        <f t="shared" si="13"/>
        <v>1972923.9411973953</v>
      </c>
      <c r="F74" s="17">
        <f>C31-F31-SUM($E$6:E31)</f>
        <v>0</v>
      </c>
      <c r="G74" s="17">
        <f t="shared" si="20"/>
        <v>0</v>
      </c>
      <c r="H74" s="17"/>
      <c r="I74" s="12">
        <v>14.6</v>
      </c>
      <c r="J74" s="65">
        <f t="shared" si="16"/>
        <v>0.34545454545454546</v>
      </c>
      <c r="K74" s="43">
        <f t="shared" si="17"/>
        <v>43230.556309753047</v>
      </c>
      <c r="L74" s="43">
        <f t="shared" si="18"/>
        <v>382074.58488118014</v>
      </c>
      <c r="N74" s="44">
        <v>137425.14285714179</v>
      </c>
      <c r="O74" s="17">
        <f t="shared" si="14"/>
        <v>1985207.9999999888</v>
      </c>
      <c r="P74" s="58">
        <f t="shared" si="15"/>
        <v>1</v>
      </c>
      <c r="Q74" s="17">
        <f t="shared" si="11"/>
        <v>1972923.9411973953</v>
      </c>
      <c r="R74" s="4">
        <f t="shared" si="19"/>
        <v>125141.08405454829</v>
      </c>
      <c r="S74" s="2"/>
    </row>
    <row r="75" spans="1:19" x14ac:dyDescent="0.25">
      <c r="A75">
        <v>9</v>
      </c>
      <c r="B75" s="10">
        <v>2039</v>
      </c>
      <c r="C75" s="43">
        <f t="shared" si="21"/>
        <v>2010825.466121912</v>
      </c>
      <c r="D75" s="44">
        <v>37901.524924516678</v>
      </c>
      <c r="E75" s="17">
        <f t="shared" si="13"/>
        <v>2010825.466121912</v>
      </c>
      <c r="F75" s="17">
        <f>C32-F32-SUM($E$6:E32)</f>
        <v>0</v>
      </c>
      <c r="G75" s="17">
        <f t="shared" si="20"/>
        <v>0</v>
      </c>
      <c r="H75" s="17"/>
      <c r="I75" s="12">
        <v>14.6</v>
      </c>
      <c r="J75" s="65">
        <f t="shared" si="16"/>
        <v>0.36363636363636359</v>
      </c>
      <c r="K75" s="43">
        <f t="shared" si="17"/>
        <v>13782.372699824246</v>
      </c>
      <c r="L75" s="43">
        <f t="shared" si="18"/>
        <v>395856.95758100436</v>
      </c>
      <c r="N75" s="44">
        <v>141714.28571428545</v>
      </c>
      <c r="O75" s="17">
        <f t="shared" si="14"/>
        <v>2126922.2857142743</v>
      </c>
      <c r="P75" s="58">
        <f t="shared" si="15"/>
        <v>1</v>
      </c>
      <c r="Q75" s="17">
        <f t="shared" si="11"/>
        <v>2010825.466121912</v>
      </c>
      <c r="R75" s="4">
        <f t="shared" si="19"/>
        <v>37901.524924516678</v>
      </c>
      <c r="S75" s="2"/>
    </row>
    <row r="76" spans="1:19" x14ac:dyDescent="0.25">
      <c r="A76">
        <v>10</v>
      </c>
      <c r="B76" s="10">
        <v>2040</v>
      </c>
      <c r="C76" s="43">
        <f t="shared" si="21"/>
        <v>2048450.7037320137</v>
      </c>
      <c r="D76" s="44">
        <v>37625.2376101017</v>
      </c>
      <c r="E76" s="17">
        <f t="shared" si="13"/>
        <v>2048450.7037320137</v>
      </c>
      <c r="F76" s="17">
        <f>C33-F33-SUM($E$6:E33)</f>
        <v>0</v>
      </c>
      <c r="G76" s="17">
        <f t="shared" si="20"/>
        <v>0</v>
      </c>
      <c r="H76" s="17"/>
      <c r="I76" s="12">
        <v>14.6</v>
      </c>
      <c r="J76" s="65">
        <f t="shared" si="16"/>
        <v>0.38181818181818178</v>
      </c>
      <c r="K76" s="43">
        <f t="shared" si="17"/>
        <v>14365.999814766103</v>
      </c>
      <c r="L76" s="43">
        <f t="shared" si="18"/>
        <v>410222.95739577047</v>
      </c>
      <c r="N76" s="44">
        <v>146003.42857142724</v>
      </c>
      <c r="O76" s="17">
        <f t="shared" si="14"/>
        <v>2272925.7142857015</v>
      </c>
      <c r="P76" s="58">
        <f t="shared" si="15"/>
        <v>1</v>
      </c>
      <c r="Q76" s="17">
        <f t="shared" si="11"/>
        <v>2048450.7037320137</v>
      </c>
      <c r="R76" s="4">
        <f t="shared" si="19"/>
        <v>37625.2376101017</v>
      </c>
      <c r="S76" s="2"/>
    </row>
    <row r="77" spans="1:19" x14ac:dyDescent="0.25">
      <c r="A77">
        <v>11</v>
      </c>
      <c r="B77" s="10">
        <v>2041</v>
      </c>
      <c r="C77" s="43">
        <f t="shared" si="21"/>
        <v>2085799.6540281773</v>
      </c>
      <c r="D77" s="44">
        <v>37348.950296163559</v>
      </c>
      <c r="E77" s="17">
        <f t="shared" si="13"/>
        <v>2085799.6540281773</v>
      </c>
      <c r="F77" s="17">
        <f>C34-F34-SUM($E$6:E34)</f>
        <v>0</v>
      </c>
      <c r="G77" s="17">
        <f t="shared" si="20"/>
        <v>0</v>
      </c>
      <c r="H77" s="17"/>
      <c r="I77" s="12">
        <v>14.6</v>
      </c>
      <c r="J77" s="65">
        <f t="shared" si="16"/>
        <v>0.4</v>
      </c>
      <c r="K77" s="43">
        <f t="shared" si="17"/>
        <v>14939.580118465425</v>
      </c>
      <c r="L77" s="43">
        <f t="shared" si="18"/>
        <v>425162.53751423588</v>
      </c>
      <c r="N77" s="44">
        <v>150292.5714285709</v>
      </c>
      <c r="O77" s="17">
        <f t="shared" si="14"/>
        <v>2423218.2857142724</v>
      </c>
      <c r="P77" s="58">
        <f t="shared" si="15"/>
        <v>1</v>
      </c>
      <c r="Q77" s="17">
        <f t="shared" si="11"/>
        <v>2085799.6540281773</v>
      </c>
      <c r="R77" s="4">
        <f t="shared" si="19"/>
        <v>37348.950296163559</v>
      </c>
      <c r="S77" s="2"/>
    </row>
    <row r="78" spans="1:19" x14ac:dyDescent="0.25">
      <c r="A78">
        <v>12</v>
      </c>
      <c r="B78" s="10">
        <v>2042</v>
      </c>
      <c r="C78" s="43">
        <f t="shared" si="21"/>
        <v>2122872.3170102835</v>
      </c>
      <c r="D78" s="44">
        <v>37072.662982106209</v>
      </c>
      <c r="E78" s="17">
        <f t="shared" si="13"/>
        <v>2122872.3170102835</v>
      </c>
      <c r="F78" s="17">
        <f>C35-F35-SUM($E$6:E35)</f>
        <v>0</v>
      </c>
      <c r="G78" s="17">
        <f t="shared" si="20"/>
        <v>0</v>
      </c>
      <c r="H78" s="17"/>
      <c r="I78" s="12">
        <v>14.6</v>
      </c>
      <c r="J78" s="65">
        <f t="shared" si="16"/>
        <v>0.41818181818181821</v>
      </c>
      <c r="K78" s="43">
        <f t="shared" si="17"/>
        <v>15503.113610698962</v>
      </c>
      <c r="L78" s="43">
        <f t="shared" si="18"/>
        <v>440665.65112493484</v>
      </c>
      <c r="N78" s="44">
        <v>154581.71428571455</v>
      </c>
      <c r="O78" s="17">
        <f t="shared" si="14"/>
        <v>2577799.999999987</v>
      </c>
      <c r="P78" s="58">
        <f t="shared" si="15"/>
        <v>1</v>
      </c>
      <c r="Q78" s="17">
        <f t="shared" si="11"/>
        <v>2122872.3170102835</v>
      </c>
      <c r="R78" s="4">
        <f t="shared" si="19"/>
        <v>37072.662982106209</v>
      </c>
      <c r="S78" s="2"/>
    </row>
    <row r="79" spans="1:19" x14ac:dyDescent="0.25">
      <c r="A79">
        <v>13</v>
      </c>
      <c r="B79" s="10">
        <v>2043</v>
      </c>
      <c r="C79" s="43">
        <f t="shared" si="21"/>
        <v>2159668.6926778555</v>
      </c>
      <c r="D79" s="44">
        <v>36796.375667572021</v>
      </c>
      <c r="E79" s="17">
        <f t="shared" si="13"/>
        <v>2159668.6926778555</v>
      </c>
      <c r="F79" s="17">
        <f>C36-F36-SUM($E$6:E36)</f>
        <v>0</v>
      </c>
      <c r="G79" s="17">
        <f t="shared" si="20"/>
        <v>0</v>
      </c>
      <c r="H79" s="17"/>
      <c r="I79" s="12">
        <v>14.6</v>
      </c>
      <c r="J79" s="65">
        <f t="shared" si="16"/>
        <v>0.43636363636363634</v>
      </c>
      <c r="K79" s="43">
        <f t="shared" si="17"/>
        <v>16056.600291304154</v>
      </c>
      <c r="L79" s="43">
        <f t="shared" si="18"/>
        <v>456722.25141623901</v>
      </c>
      <c r="N79" s="44">
        <v>158870.85714285634</v>
      </c>
      <c r="O79" s="17">
        <f t="shared" si="14"/>
        <v>2736670.8571428433</v>
      </c>
      <c r="P79" s="58">
        <f t="shared" si="15"/>
        <v>1</v>
      </c>
      <c r="Q79" s="17">
        <f t="shared" si="11"/>
        <v>2159668.6926778555</v>
      </c>
      <c r="R79" s="4">
        <f t="shared" si="19"/>
        <v>36796.375667572021</v>
      </c>
      <c r="S79" s="2"/>
    </row>
    <row r="80" spans="1:19" x14ac:dyDescent="0.25">
      <c r="A80">
        <v>14</v>
      </c>
      <c r="B80" s="10">
        <v>2044</v>
      </c>
      <c r="C80" s="43">
        <f t="shared" si="21"/>
        <v>2196188.7810314894</v>
      </c>
      <c r="D80" s="44">
        <v>36520.088353633881</v>
      </c>
      <c r="E80" s="17">
        <f t="shared" si="13"/>
        <v>2196188.7810314894</v>
      </c>
      <c r="F80" s="17">
        <f>C37-F37-SUM($E$6:E37)</f>
        <v>0</v>
      </c>
      <c r="G80" s="17">
        <f t="shared" si="20"/>
        <v>0</v>
      </c>
      <c r="H80" s="17"/>
      <c r="I80" s="12">
        <v>14.6</v>
      </c>
      <c r="J80" s="65">
        <f t="shared" si="16"/>
        <v>0.45454545454545453</v>
      </c>
      <c r="K80" s="43">
        <f t="shared" si="17"/>
        <v>16600.040160742672</v>
      </c>
      <c r="L80" s="43">
        <f t="shared" si="18"/>
        <v>473322.29157698166</v>
      </c>
      <c r="N80" s="44">
        <v>163160</v>
      </c>
      <c r="O80" s="17">
        <f t="shared" si="14"/>
        <v>2899830.8571428433</v>
      </c>
      <c r="P80" s="58">
        <f t="shared" si="15"/>
        <v>1</v>
      </c>
      <c r="Q80" s="17">
        <f t="shared" si="11"/>
        <v>2196188.7810314894</v>
      </c>
      <c r="R80" s="4">
        <f t="shared" si="19"/>
        <v>36520.088353633881</v>
      </c>
      <c r="S80" s="2"/>
    </row>
    <row r="81" spans="1:19" x14ac:dyDescent="0.25">
      <c r="A81">
        <v>15</v>
      </c>
      <c r="B81" s="10">
        <v>2045</v>
      </c>
      <c r="C81" s="43">
        <f t="shared" si="21"/>
        <v>2232432.5820710659</v>
      </c>
      <c r="D81" s="44">
        <v>36243.80103957653</v>
      </c>
      <c r="E81" s="17">
        <f t="shared" si="13"/>
        <v>2232432.5820710659</v>
      </c>
      <c r="F81" s="17">
        <f>C38-F38-SUM($E$6:E38)</f>
        <v>0</v>
      </c>
      <c r="G81" s="17">
        <f t="shared" si="20"/>
        <v>0</v>
      </c>
      <c r="H81" s="17"/>
      <c r="I81" s="12">
        <v>14.6</v>
      </c>
      <c r="J81" s="65">
        <f t="shared" si="16"/>
        <v>0.47272727272727272</v>
      </c>
      <c r="K81" s="43">
        <f t="shared" si="17"/>
        <v>17133.433218708906</v>
      </c>
      <c r="L81" s="43">
        <f t="shared" si="18"/>
        <v>490455.72479569056</v>
      </c>
      <c r="N81" s="44">
        <v>167449.14285714179</v>
      </c>
      <c r="O81" s="17">
        <f t="shared" si="14"/>
        <v>3067279.9999999851</v>
      </c>
      <c r="P81" s="58">
        <f t="shared" si="15"/>
        <v>1</v>
      </c>
      <c r="Q81" s="17">
        <f t="shared" si="11"/>
        <v>2232432.5820710659</v>
      </c>
      <c r="R81" s="4">
        <f t="shared" si="19"/>
        <v>36243.80103957653</v>
      </c>
      <c r="S81" s="2"/>
    </row>
    <row r="82" spans="1:19" x14ac:dyDescent="0.25">
      <c r="A82">
        <v>16</v>
      </c>
      <c r="B82" s="10">
        <v>2046</v>
      </c>
      <c r="C82" s="43">
        <f t="shared" si="21"/>
        <v>2268400.0957963467</v>
      </c>
      <c r="D82" s="44">
        <v>35967.513725280762</v>
      </c>
      <c r="E82" s="17">
        <f t="shared" si="13"/>
        <v>2268400.0957963467</v>
      </c>
      <c r="F82" s="17">
        <f>C39-F39-SUM($E$6:E39)</f>
        <v>0</v>
      </c>
      <c r="G82" s="17">
        <f t="shared" si="20"/>
        <v>0</v>
      </c>
      <c r="H82" s="17"/>
      <c r="I82" s="12">
        <v>14.6</v>
      </c>
      <c r="J82" s="65">
        <f t="shared" si="16"/>
        <v>0.49090909090909085</v>
      </c>
      <c r="K82" s="43">
        <f t="shared" si="17"/>
        <v>17656.779465137828</v>
      </c>
      <c r="L82" s="43">
        <f t="shared" si="18"/>
        <v>508112.50426082837</v>
      </c>
      <c r="N82" s="44">
        <v>171738.28571428545</v>
      </c>
      <c r="O82" s="17">
        <f t="shared" si="14"/>
        <v>3239018.2857142705</v>
      </c>
      <c r="P82" s="58">
        <f t="shared" si="15"/>
        <v>1</v>
      </c>
      <c r="Q82" s="17">
        <f t="shared" si="11"/>
        <v>2268400.0957963467</v>
      </c>
      <c r="R82" s="4">
        <f t="shared" si="19"/>
        <v>35967.513725280762</v>
      </c>
      <c r="S82" s="2"/>
    </row>
    <row r="83" spans="1:19" x14ac:dyDescent="0.25">
      <c r="A83">
        <v>17</v>
      </c>
      <c r="B83" s="10">
        <v>2047</v>
      </c>
      <c r="C83" s="43">
        <f t="shared" si="21"/>
        <v>2304091.3222073317</v>
      </c>
      <c r="D83" s="44">
        <v>35691.226410984993</v>
      </c>
      <c r="E83" s="17">
        <f t="shared" si="13"/>
        <v>2304091.3222073317</v>
      </c>
      <c r="F83" s="17">
        <f>C40-F40-SUM($E$6:E40)</f>
        <v>0</v>
      </c>
      <c r="G83" s="17">
        <f t="shared" si="20"/>
        <v>0</v>
      </c>
      <c r="H83" s="17"/>
      <c r="I83" s="12">
        <v>14.6</v>
      </c>
      <c r="J83" s="65">
        <f t="shared" si="16"/>
        <v>0.50909090909090904</v>
      </c>
      <c r="K83" s="43">
        <f t="shared" si="17"/>
        <v>18170.078900137814</v>
      </c>
      <c r="L83" s="43">
        <f t="shared" si="18"/>
        <v>526282.58316096617</v>
      </c>
      <c r="N83" s="44">
        <v>176027.42857142724</v>
      </c>
      <c r="O83" s="17">
        <f t="shared" si="14"/>
        <v>3415045.7142856978</v>
      </c>
      <c r="P83" s="58">
        <f t="shared" si="15"/>
        <v>1</v>
      </c>
      <c r="Q83" s="17">
        <f t="shared" si="11"/>
        <v>2304091.3222073317</v>
      </c>
      <c r="R83" s="4">
        <f t="shared" si="19"/>
        <v>35691.226410984993</v>
      </c>
      <c r="S83" s="2"/>
    </row>
    <row r="84" spans="1:19" x14ac:dyDescent="0.25">
      <c r="A84">
        <v>18</v>
      </c>
      <c r="B84" s="10">
        <v>2048</v>
      </c>
      <c r="C84" s="43">
        <f t="shared" si="21"/>
        <v>2339506.2613042593</v>
      </c>
      <c r="D84" s="44">
        <v>35414.939096927643</v>
      </c>
      <c r="E84" s="17">
        <f t="shared" si="13"/>
        <v>2339506.2613042593</v>
      </c>
      <c r="F84" s="17">
        <f>C41-F41-SUM($E$6:E41)</f>
        <v>0</v>
      </c>
      <c r="G84" s="17">
        <f t="shared" si="20"/>
        <v>0</v>
      </c>
      <c r="H84" s="17"/>
      <c r="I84" s="12">
        <v>14.6</v>
      </c>
      <c r="J84" s="65">
        <f t="shared" si="16"/>
        <v>0.52727272727272723</v>
      </c>
      <c r="K84" s="43">
        <f t="shared" si="17"/>
        <v>18673.331523834575</v>
      </c>
      <c r="L84" s="43">
        <f t="shared" si="18"/>
        <v>544955.91468480078</v>
      </c>
      <c r="N84" s="44">
        <v>180316.5714285709</v>
      </c>
      <c r="O84" s="17">
        <f t="shared" si="14"/>
        <v>3595362.2857142687</v>
      </c>
      <c r="P84" s="58">
        <f t="shared" si="15"/>
        <v>1</v>
      </c>
      <c r="Q84" s="17">
        <f t="shared" si="11"/>
        <v>2339506.2613042593</v>
      </c>
      <c r="R84" s="4">
        <f t="shared" si="19"/>
        <v>35414.939096927643</v>
      </c>
      <c r="S84" s="2"/>
    </row>
    <row r="85" spans="1:19" x14ac:dyDescent="0.25">
      <c r="A85">
        <v>19</v>
      </c>
      <c r="B85" s="10">
        <v>2049</v>
      </c>
      <c r="C85" s="43">
        <f t="shared" si="21"/>
        <v>2374644.9130871296</v>
      </c>
      <c r="D85" s="44">
        <v>35138.651782870293</v>
      </c>
      <c r="E85" s="17">
        <f t="shared" si="13"/>
        <v>2374644.9130871296</v>
      </c>
      <c r="F85" s="17">
        <f>C42-F42-SUM($E$6:E42)</f>
        <v>0</v>
      </c>
      <c r="G85" s="17">
        <f t="shared" si="20"/>
        <v>0</v>
      </c>
      <c r="H85" s="17"/>
      <c r="I85" s="12">
        <v>14.6</v>
      </c>
      <c r="J85" s="65">
        <f t="shared" si="16"/>
        <v>0.54545454545454541</v>
      </c>
      <c r="K85" s="43">
        <f t="shared" si="17"/>
        <v>19166.537336111069</v>
      </c>
      <c r="L85" s="43">
        <f t="shared" si="18"/>
        <v>564122.45202091185</v>
      </c>
      <c r="N85" s="44">
        <v>184605.71428571455</v>
      </c>
      <c r="O85" s="17">
        <f t="shared" si="14"/>
        <v>3779967.9999999832</v>
      </c>
      <c r="P85" s="58">
        <f t="shared" si="15"/>
        <v>1</v>
      </c>
      <c r="Q85" s="17">
        <f t="shared" si="11"/>
        <v>2374644.9130871296</v>
      </c>
      <c r="R85" s="4">
        <f t="shared" si="19"/>
        <v>35138.651782870293</v>
      </c>
      <c r="S85" s="2"/>
    </row>
    <row r="86" spans="1:19" x14ac:dyDescent="0.25">
      <c r="A86">
        <v>20</v>
      </c>
      <c r="B86" s="10">
        <v>2050</v>
      </c>
      <c r="C86" s="43">
        <f t="shared" si="21"/>
        <v>2409507.2775554657</v>
      </c>
      <c r="D86" s="44">
        <v>34862.364468336105</v>
      </c>
      <c r="E86" s="17">
        <f t="shared" si="13"/>
        <v>2409507.2775554657</v>
      </c>
      <c r="F86" s="17">
        <f>C43-F43-SUM($E$6:E43)</f>
        <v>0</v>
      </c>
      <c r="G86" s="17">
        <f t="shared" si="20"/>
        <v>0</v>
      </c>
      <c r="H86" s="17"/>
      <c r="I86" s="12">
        <v>14.6</v>
      </c>
      <c r="J86" s="65">
        <f t="shared" si="16"/>
        <v>0.5636363636363636</v>
      </c>
      <c r="K86" s="43">
        <f t="shared" si="17"/>
        <v>19649.696336698529</v>
      </c>
      <c r="L86" s="43">
        <f t="shared" si="18"/>
        <v>583772.14835761033</v>
      </c>
      <c r="N86" s="44">
        <v>188894.85714285634</v>
      </c>
      <c r="O86" s="17">
        <f t="shared" si="14"/>
        <v>3968862.8571428396</v>
      </c>
      <c r="P86" s="58">
        <f t="shared" si="15"/>
        <v>1</v>
      </c>
      <c r="Q86" s="17">
        <f t="shared" si="11"/>
        <v>2409507.2775554657</v>
      </c>
      <c r="R86" s="4">
        <f t="shared" si="19"/>
        <v>34862.364468336105</v>
      </c>
      <c r="S86" s="2"/>
    </row>
    <row r="87" spans="1:19" x14ac:dyDescent="0.25">
      <c r="B87" t="s">
        <v>23</v>
      </c>
      <c r="C87" t="s">
        <v>24</v>
      </c>
      <c r="D87" t="s">
        <v>25</v>
      </c>
      <c r="E87" t="s">
        <v>27</v>
      </c>
      <c r="N87" t="s">
        <v>56</v>
      </c>
      <c r="O87" s="2"/>
      <c r="P87" t="s">
        <v>67</v>
      </c>
      <c r="R87" s="2" t="s">
        <v>68</v>
      </c>
      <c r="S87" s="2"/>
    </row>
    <row r="88" spans="1:19" x14ac:dyDescent="0.25">
      <c r="B88" t="s">
        <v>31</v>
      </c>
      <c r="C88" t="s">
        <v>62</v>
      </c>
    </row>
    <row r="90" spans="1:19" x14ac:dyDescent="0.25">
      <c r="B90" s="68" t="s">
        <v>13</v>
      </c>
      <c r="C90" s="68"/>
      <c r="D90" s="68"/>
      <c r="E90" s="68"/>
      <c r="F90" s="68"/>
      <c r="G90" s="68"/>
      <c r="H90" s="68"/>
      <c r="I90" s="68"/>
      <c r="J90" s="68"/>
      <c r="K90" s="68"/>
      <c r="L90" s="51"/>
    </row>
    <row r="91" spans="1:19" ht="54" x14ac:dyDescent="0.25">
      <c r="B91" s="9" t="s">
        <v>0</v>
      </c>
      <c r="C91" s="19" t="s">
        <v>30</v>
      </c>
      <c r="D91" s="9" t="s">
        <v>1</v>
      </c>
      <c r="E91" s="16" t="s">
        <v>6</v>
      </c>
      <c r="F91" s="16" t="s">
        <v>19</v>
      </c>
      <c r="G91" s="9" t="s">
        <v>14</v>
      </c>
      <c r="H91" s="9" t="s">
        <v>15</v>
      </c>
      <c r="I91" s="16" t="s">
        <v>18</v>
      </c>
      <c r="J91" s="16" t="s">
        <v>16</v>
      </c>
      <c r="K91" s="16" t="s">
        <v>12</v>
      </c>
      <c r="L91" s="52"/>
    </row>
    <row r="92" spans="1:19" x14ac:dyDescent="0.25">
      <c r="B92" s="10">
        <v>2013</v>
      </c>
      <c r="C92" s="11">
        <v>4488.9048500498293</v>
      </c>
      <c r="D92" s="11">
        <v>1073183.6651212492</v>
      </c>
      <c r="E92" s="17">
        <f t="shared" ref="E92:E109" si="22">F49</f>
        <v>1073183.6651212492</v>
      </c>
      <c r="F92" s="17"/>
      <c r="G92" s="21">
        <v>14.6</v>
      </c>
      <c r="H92" s="21"/>
      <c r="I92" s="17"/>
      <c r="J92" s="17"/>
      <c r="K92" s="31">
        <v>6.1068774097789651E-2</v>
      </c>
      <c r="L92" s="53"/>
    </row>
    <row r="93" spans="1:19" x14ac:dyDescent="0.25">
      <c r="B93" s="10">
        <v>2014</v>
      </c>
      <c r="C93" s="11">
        <v>4409.1759291458902</v>
      </c>
      <c r="D93" s="11">
        <v>976651.16433813574</v>
      </c>
      <c r="E93" s="17">
        <f t="shared" si="22"/>
        <v>976651.16433813574</v>
      </c>
      <c r="F93" s="17"/>
      <c r="G93" s="21">
        <v>14.6</v>
      </c>
      <c r="H93" s="21"/>
      <c r="I93" s="17"/>
      <c r="J93" s="17"/>
      <c r="K93" s="31">
        <v>6.5912959423086767E-2</v>
      </c>
      <c r="L93" s="53"/>
    </row>
    <row r="94" spans="1:19" x14ac:dyDescent="0.25">
      <c r="B94" s="10">
        <v>2015</v>
      </c>
      <c r="C94" s="11">
        <v>4697.8044143992256</v>
      </c>
      <c r="D94" s="11">
        <v>1019571.4085290028</v>
      </c>
      <c r="E94" s="17">
        <f t="shared" si="22"/>
        <v>1019571.4085290028</v>
      </c>
      <c r="F94" s="17"/>
      <c r="G94" s="21">
        <v>14.6</v>
      </c>
      <c r="H94" s="21"/>
      <c r="I94" s="17"/>
      <c r="J94" s="17"/>
      <c r="K94" s="31">
        <v>6.7271349389038532E-2</v>
      </c>
      <c r="L94" s="53"/>
    </row>
    <row r="95" spans="1:19" x14ac:dyDescent="0.25">
      <c r="B95" s="10">
        <v>2016</v>
      </c>
      <c r="C95" s="11">
        <v>4861.015568828896</v>
      </c>
      <c r="D95" s="11">
        <v>1117970.6924468274</v>
      </c>
      <c r="E95" s="17">
        <f t="shared" si="22"/>
        <v>1117970.6924468274</v>
      </c>
      <c r="F95" s="17"/>
      <c r="G95" s="21">
        <v>14.6</v>
      </c>
      <c r="H95" s="21"/>
      <c r="I95" s="17"/>
      <c r="J95" s="17"/>
      <c r="K95" s="31">
        <v>6.3481831665526761E-2</v>
      </c>
      <c r="L95" s="53"/>
    </row>
    <row r="96" spans="1:19" x14ac:dyDescent="0.25">
      <c r="B96" s="10">
        <v>2017</v>
      </c>
      <c r="C96" s="11">
        <v>4774.6817019902828</v>
      </c>
      <c r="D96" s="11">
        <v>1053030.9082251894</v>
      </c>
      <c r="E96" s="17">
        <f t="shared" si="22"/>
        <v>1053030.9082251894</v>
      </c>
      <c r="F96" s="17"/>
      <c r="G96" s="21">
        <v>14.6</v>
      </c>
      <c r="H96" s="21">
        <v>14.6</v>
      </c>
      <c r="I96" s="17">
        <f>F96*K96/H96</f>
        <v>0</v>
      </c>
      <c r="J96" s="17"/>
      <c r="K96" s="31">
        <v>6.6199721493977889E-2</v>
      </c>
      <c r="L96" s="53"/>
    </row>
    <row r="97" spans="1:16" x14ac:dyDescent="0.25">
      <c r="A97" s="3" t="s">
        <v>3</v>
      </c>
      <c r="B97" s="10">
        <v>2018</v>
      </c>
      <c r="C97" s="11">
        <v>4784.7519434793039</v>
      </c>
      <c r="D97" s="11">
        <v>1166385.7116395417</v>
      </c>
      <c r="E97" s="17">
        <f t="shared" si="22"/>
        <v>1114743.4259252562</v>
      </c>
      <c r="F97" s="17">
        <f t="shared" ref="F97:F109" si="23">D11</f>
        <v>51443.285714285448</v>
      </c>
      <c r="G97" s="21">
        <v>14.6</v>
      </c>
      <c r="H97" s="21">
        <v>16.155472</v>
      </c>
      <c r="I97" s="17">
        <f t="shared" ref="I97:I129" si="24">F97*K97/H97</f>
        <v>190.7124919777599</v>
      </c>
      <c r="J97" s="20">
        <f>J96+I96</f>
        <v>0</v>
      </c>
      <c r="K97" s="22">
        <v>5.9892176042350614E-2</v>
      </c>
      <c r="L97" s="35"/>
      <c r="M97" s="2">
        <f t="shared" ref="M97:M105" si="25">E97*K97/G97</f>
        <v>4572.9047607923612</v>
      </c>
      <c r="N97" s="2">
        <f t="shared" ref="N97:N105" si="26">F97*K97/H97</f>
        <v>190.7124919777599</v>
      </c>
      <c r="O97" s="2">
        <f>M97+SUM($N$97:N97)</f>
        <v>4763.617252770121</v>
      </c>
      <c r="P97" s="2">
        <f>O97-M97</f>
        <v>190.71249197775978</v>
      </c>
    </row>
    <row r="98" spans="1:16" x14ac:dyDescent="0.25">
      <c r="B98" s="10">
        <v>2019</v>
      </c>
      <c r="C98" s="11">
        <v>4809.2963508437269</v>
      </c>
      <c r="D98" s="11">
        <v>1206991.5861911501</v>
      </c>
      <c r="E98" s="17">
        <f t="shared" si="22"/>
        <v>1099417.8719054374</v>
      </c>
      <c r="F98" s="17">
        <f t="shared" si="23"/>
        <v>55651.428571427241</v>
      </c>
      <c r="G98" s="21">
        <v>14.6</v>
      </c>
      <c r="H98" s="21">
        <v>16.750673599999999</v>
      </c>
      <c r="I98" s="17">
        <f t="shared" si="24"/>
        <v>193.01920707600496</v>
      </c>
      <c r="J98" s="20">
        <f t="shared" ref="J98:J129" si="27">J97+I97</f>
        <v>190.7124919777599</v>
      </c>
      <c r="K98" s="22">
        <v>5.8097371788241418E-2</v>
      </c>
      <c r="L98" s="35"/>
      <c r="M98" s="2">
        <f t="shared" si="25"/>
        <v>4374.8827982689982</v>
      </c>
      <c r="N98" s="2">
        <f t="shared" si="26"/>
        <v>193.01920707600496</v>
      </c>
      <c r="O98" s="2">
        <f>M98+SUM($N$97:N98)</f>
        <v>4758.6144973227629</v>
      </c>
      <c r="P98" s="2">
        <f t="shared" ref="P98:P109" si="28">O98-M98</f>
        <v>383.73169905376471</v>
      </c>
    </row>
    <row r="99" spans="1:16" s="14" customFormat="1" x14ac:dyDescent="0.25">
      <c r="B99" s="10">
        <v>2020</v>
      </c>
      <c r="C99" s="11">
        <v>4845.536453345142</v>
      </c>
      <c r="D99" s="11">
        <v>1247784.1313553418</v>
      </c>
      <c r="E99" s="17">
        <f t="shared" si="22"/>
        <v>1079989.8456410584</v>
      </c>
      <c r="F99" s="17">
        <f t="shared" si="23"/>
        <v>59125.651948051425</v>
      </c>
      <c r="G99" s="21">
        <v>14.6</v>
      </c>
      <c r="H99" s="21">
        <v>17.3883896</v>
      </c>
      <c r="I99" s="17">
        <f t="shared" si="24"/>
        <v>192.05852518643152</v>
      </c>
      <c r="J99" s="20">
        <f t="shared" si="27"/>
        <v>383.73169905376483</v>
      </c>
      <c r="K99" s="22">
        <v>5.6482902968702828E-2</v>
      </c>
      <c r="L99" s="35"/>
      <c r="M99" s="8">
        <f t="shared" si="25"/>
        <v>4178.1480588033046</v>
      </c>
      <c r="N99" s="8">
        <f t="shared" si="26"/>
        <v>192.05852518643152</v>
      </c>
      <c r="O99" s="8">
        <f>M99+SUM($N$97:N99)</f>
        <v>4753.9382830435006</v>
      </c>
      <c r="P99" s="8">
        <f t="shared" si="28"/>
        <v>575.79022424019604</v>
      </c>
    </row>
    <row r="100" spans="1:16" x14ac:dyDescent="0.25">
      <c r="B100" s="10">
        <v>2021</v>
      </c>
      <c r="C100" s="11">
        <v>4893.1151305214926</v>
      </c>
      <c r="D100" s="11">
        <v>1288748.2711188961</v>
      </c>
      <c r="E100" s="17">
        <f t="shared" si="22"/>
        <v>1056444.2711188979</v>
      </c>
      <c r="F100" s="17">
        <f t="shared" si="23"/>
        <v>62163.906493506751</v>
      </c>
      <c r="G100" s="21">
        <v>14.6</v>
      </c>
      <c r="H100" s="21">
        <v>18.153648800000003</v>
      </c>
      <c r="I100" s="17">
        <f t="shared" si="24"/>
        <v>188.46940035068351</v>
      </c>
      <c r="J100" s="20">
        <f t="shared" si="27"/>
        <v>575.79022424019638</v>
      </c>
      <c r="K100" s="22">
        <v>5.5038486100777537E-2</v>
      </c>
      <c r="L100" s="35"/>
      <c r="M100" s="2">
        <f t="shared" si="25"/>
        <v>3982.5406391933921</v>
      </c>
      <c r="N100" s="2">
        <f t="shared" si="26"/>
        <v>188.46940035068351</v>
      </c>
      <c r="O100" s="2">
        <f>M100+SUM($N$97:N100)</f>
        <v>4746.8002637842719</v>
      </c>
      <c r="P100" s="2">
        <f t="shared" si="28"/>
        <v>764.25962459087987</v>
      </c>
    </row>
    <row r="101" spans="1:16" x14ac:dyDescent="0.25">
      <c r="B101" s="10">
        <v>2022</v>
      </c>
      <c r="C101" s="11">
        <v>4952.0423023853336</v>
      </c>
      <c r="D101" s="11">
        <v>1329857.3224403893</v>
      </c>
      <c r="E101" s="17">
        <f t="shared" si="22"/>
        <v>1028754.4652975349</v>
      </c>
      <c r="F101" s="17">
        <f t="shared" si="23"/>
        <v>65046.19220779145</v>
      </c>
      <c r="G101" s="21">
        <v>14.6</v>
      </c>
      <c r="H101" s="21">
        <v>19.003936800000002</v>
      </c>
      <c r="I101" s="17">
        <f t="shared" si="24"/>
        <v>184.01136707244177</v>
      </c>
      <c r="J101" s="20">
        <f t="shared" si="27"/>
        <v>764.25962459087987</v>
      </c>
      <c r="K101" s="22">
        <v>5.3760877795201813E-2</v>
      </c>
      <c r="L101" s="35"/>
      <c r="M101" s="2">
        <f t="shared" si="25"/>
        <v>3788.1330883649975</v>
      </c>
      <c r="N101" s="2">
        <f t="shared" si="26"/>
        <v>184.01136707244177</v>
      </c>
      <c r="O101" s="2">
        <f>M101+SUM($N$97:N101)</f>
        <v>4736.4040800283192</v>
      </c>
      <c r="P101" s="2">
        <f t="shared" si="28"/>
        <v>948.27099166332164</v>
      </c>
    </row>
    <row r="102" spans="1:16" x14ac:dyDescent="0.25">
      <c r="B102" s="10">
        <v>2023</v>
      </c>
      <c r="C102" s="11">
        <v>5022.1493287186813</v>
      </c>
      <c r="D102" s="11">
        <v>1371090.8945916586</v>
      </c>
      <c r="E102" s="17">
        <f t="shared" si="22"/>
        <v>996900.03744880413</v>
      </c>
      <c r="F102" s="17">
        <f t="shared" si="23"/>
        <v>67772.509090909094</v>
      </c>
      <c r="G102" s="21">
        <v>14.6</v>
      </c>
      <c r="H102" s="21">
        <v>19.896739199999999</v>
      </c>
      <c r="I102" s="17">
        <f t="shared" si="24"/>
        <v>179.32252389706559</v>
      </c>
      <c r="J102" s="20">
        <f>J101+I101</f>
        <v>948.27099166332164</v>
      </c>
      <c r="K102" s="22">
        <v>5.2645734067182107E-2</v>
      </c>
      <c r="L102" s="35"/>
      <c r="M102" s="2">
        <f t="shared" si="25"/>
        <v>3594.6941276091529</v>
      </c>
      <c r="N102" s="2">
        <f t="shared" si="26"/>
        <v>179.32252389706559</v>
      </c>
      <c r="O102" s="2">
        <f>M102+SUM($N$97:N102)</f>
        <v>4722.2876431695404</v>
      </c>
      <c r="P102" s="2">
        <f t="shared" si="28"/>
        <v>1127.5935155603875</v>
      </c>
    </row>
    <row r="103" spans="1:16" x14ac:dyDescent="0.25">
      <c r="B103" s="10">
        <v>2024</v>
      </c>
      <c r="C103" s="11">
        <v>5103.1187691104178</v>
      </c>
      <c r="D103" s="11">
        <v>1412434.5035978679</v>
      </c>
      <c r="E103" s="17">
        <f t="shared" si="22"/>
        <v>960866.50359787163</v>
      </c>
      <c r="F103" s="17">
        <f t="shared" si="23"/>
        <v>70342.85714285617</v>
      </c>
      <c r="G103" s="21">
        <v>14.6</v>
      </c>
      <c r="H103" s="21">
        <v>20.832056000000001</v>
      </c>
      <c r="I103" s="17">
        <f t="shared" si="24"/>
        <v>174.53285676351709</v>
      </c>
      <c r="J103" s="20">
        <f t="shared" si="27"/>
        <v>1127.5935155603872</v>
      </c>
      <c r="K103" s="22">
        <v>5.1687952318365801E-2</v>
      </c>
      <c r="L103" s="35"/>
      <c r="M103" s="2">
        <f t="shared" si="25"/>
        <v>3401.7275357727162</v>
      </c>
      <c r="N103" s="2">
        <f t="shared" si="26"/>
        <v>174.53285676351709</v>
      </c>
      <c r="O103" s="2">
        <f>M103+SUM($N$97:N103)</f>
        <v>4703.8539080966202</v>
      </c>
      <c r="P103" s="2">
        <f t="shared" si="28"/>
        <v>1302.126372323904</v>
      </c>
    </row>
    <row r="104" spans="1:16" x14ac:dyDescent="0.25">
      <c r="B104" s="10">
        <v>2025</v>
      </c>
      <c r="C104" s="11">
        <v>5195.5160642926385</v>
      </c>
      <c r="D104" s="11">
        <v>1453842.0175012546</v>
      </c>
      <c r="E104" s="17">
        <f t="shared" si="22"/>
        <v>920607.73178697284</v>
      </c>
      <c r="F104" s="17">
        <f t="shared" si="23"/>
        <v>72757.236363636126</v>
      </c>
      <c r="G104" s="21">
        <v>14.6</v>
      </c>
      <c r="H104" s="21">
        <v>21.809887199999999</v>
      </c>
      <c r="I104" s="17">
        <f t="shared" si="24"/>
        <v>169.79604694378511</v>
      </c>
      <c r="J104" s="20">
        <f t="shared" si="27"/>
        <v>1302.1263723239044</v>
      </c>
      <c r="K104" s="22">
        <v>5.089847850104328E-2</v>
      </c>
      <c r="L104" s="35"/>
      <c r="M104" s="2">
        <f t="shared" si="25"/>
        <v>3209.4200578255795</v>
      </c>
      <c r="N104" s="2">
        <f t="shared" si="26"/>
        <v>169.79604694378511</v>
      </c>
      <c r="O104" s="2">
        <f>M104+SUM($N$97:N104)</f>
        <v>4681.3424770932688</v>
      </c>
      <c r="P104" s="2">
        <f t="shared" si="28"/>
        <v>1471.9224192676893</v>
      </c>
    </row>
    <row r="105" spans="1:16" x14ac:dyDescent="0.25">
      <c r="B105" s="10">
        <v>2026</v>
      </c>
      <c r="C105" s="11">
        <v>5299.0832939312513</v>
      </c>
      <c r="D105" s="11">
        <v>1495296.6218874408</v>
      </c>
      <c r="E105" s="17">
        <f t="shared" si="22"/>
        <v>876106.90760173183</v>
      </c>
      <c r="F105" s="17">
        <f t="shared" si="23"/>
        <v>75015.646753245586</v>
      </c>
      <c r="G105" s="21">
        <v>14.6</v>
      </c>
      <c r="H105" s="21">
        <v>21.809887199999999</v>
      </c>
      <c r="I105" s="17">
        <f t="shared" si="24"/>
        <v>172.92900830320642</v>
      </c>
      <c r="J105" s="20">
        <f t="shared" si="27"/>
        <v>1471.9224192676895</v>
      </c>
      <c r="K105" s="22">
        <v>5.0277006570467471E-2</v>
      </c>
      <c r="L105" s="35"/>
      <c r="M105" s="2">
        <f t="shared" si="25"/>
        <v>3016.9885445153573</v>
      </c>
      <c r="N105" s="2">
        <f t="shared" si="26"/>
        <v>172.92900830320642</v>
      </c>
      <c r="O105" s="2">
        <f>M105+SUM($N$97:N105)</f>
        <v>4661.8399720862535</v>
      </c>
      <c r="P105" s="2">
        <f t="shared" si="28"/>
        <v>1644.8514275708962</v>
      </c>
    </row>
    <row r="106" spans="1:16" x14ac:dyDescent="0.25">
      <c r="B106" s="10">
        <v>2027</v>
      </c>
      <c r="C106" s="11">
        <v>5413.8700580907316</v>
      </c>
      <c r="D106" s="11">
        <v>1536770.45903657</v>
      </c>
      <c r="E106" s="17">
        <f t="shared" si="22"/>
        <v>827336.17332229018</v>
      </c>
      <c r="F106" s="17">
        <f t="shared" si="23"/>
        <v>77118.088311687854</v>
      </c>
      <c r="G106" s="21">
        <v>14.6</v>
      </c>
      <c r="H106" s="21">
        <v>21.809887199999999</v>
      </c>
      <c r="I106" s="17">
        <f t="shared" si="24"/>
        <v>176.19841442464391</v>
      </c>
      <c r="J106" s="20">
        <f t="shared" si="27"/>
        <v>1644.851427570896</v>
      </c>
      <c r="K106" s="22">
        <v>4.9830949230596E-2</v>
      </c>
      <c r="L106" s="35"/>
      <c r="M106" s="2">
        <f>E106*K106/G106</f>
        <v>2823.7634828396313</v>
      </c>
      <c r="N106" s="2">
        <f>F106*K106/H106</f>
        <v>176.19841442464391</v>
      </c>
      <c r="O106" s="2">
        <f>M106+SUM($N$97:N106)</f>
        <v>4644.8133248351714</v>
      </c>
      <c r="P106" s="2">
        <f t="shared" si="28"/>
        <v>1821.0498419955402</v>
      </c>
    </row>
    <row r="107" spans="1:16" x14ac:dyDescent="0.25">
      <c r="B107" s="10">
        <v>2028</v>
      </c>
      <c r="C107" s="11">
        <v>5539.9656368863471</v>
      </c>
      <c r="D107" s="11">
        <v>1578233.9588539612</v>
      </c>
      <c r="E107" s="17">
        <f t="shared" si="22"/>
        <v>774265.95885396679</v>
      </c>
      <c r="F107" s="17">
        <f t="shared" si="23"/>
        <v>79064.561038961256</v>
      </c>
      <c r="G107" s="21">
        <v>14.6</v>
      </c>
      <c r="H107" s="21">
        <v>21.809887199999999</v>
      </c>
      <c r="I107" s="17">
        <f t="shared" si="24"/>
        <v>179.70614103609924</v>
      </c>
      <c r="J107" s="20">
        <f t="shared" si="27"/>
        <v>1821.04984199554</v>
      </c>
      <c r="K107" s="22">
        <v>4.9571775440746917E-2</v>
      </c>
      <c r="L107" s="35"/>
      <c r="M107" s="2">
        <f t="shared" ref="M107:M109" si="29">E107*K107/G107</f>
        <v>2628.8861810769477</v>
      </c>
      <c r="N107" s="2">
        <f t="shared" ref="N107:N109" si="30">F107*K107/H107</f>
        <v>179.70614103609924</v>
      </c>
      <c r="O107" s="2">
        <f>M107+SUM($N$97:N107)</f>
        <v>4629.6421641085872</v>
      </c>
      <c r="P107" s="2">
        <f t="shared" si="28"/>
        <v>2000.7559830316395</v>
      </c>
    </row>
    <row r="108" spans="1:16" x14ac:dyDescent="0.25">
      <c r="B108" s="10">
        <v>2029</v>
      </c>
      <c r="C108" s="11">
        <v>5677.2013900999818</v>
      </c>
      <c r="D108" s="11">
        <v>1619667.6062884759</v>
      </c>
      <c r="E108" s="17">
        <f t="shared" si="22"/>
        <v>716876.74914562516</v>
      </c>
      <c r="F108" s="17">
        <f t="shared" si="23"/>
        <v>80855.064935064293</v>
      </c>
      <c r="G108" s="21">
        <v>14.6</v>
      </c>
      <c r="H108" s="21">
        <v>21.809887199999999</v>
      </c>
      <c r="I108" s="17">
        <f t="shared" si="24"/>
        <v>183.54718757975348</v>
      </c>
      <c r="J108" s="20">
        <f t="shared" si="27"/>
        <v>2000.7559830316393</v>
      </c>
      <c r="K108" s="22">
        <v>4.9510113685600751E-2</v>
      </c>
      <c r="L108" s="35"/>
      <c r="M108" s="2">
        <f t="shared" si="29"/>
        <v>2431.0033800523147</v>
      </c>
      <c r="N108" s="2">
        <f t="shared" si="30"/>
        <v>183.54718757975348</v>
      </c>
      <c r="O108" s="2">
        <f>M108+SUM($N$97:N108)</f>
        <v>4615.3065506637076</v>
      </c>
      <c r="P108" s="2">
        <f t="shared" si="28"/>
        <v>2184.3031706113929</v>
      </c>
    </row>
    <row r="109" spans="1:16" x14ac:dyDescent="0.25">
      <c r="B109" s="10">
        <v>2030</v>
      </c>
      <c r="C109" s="11">
        <v>5826.0534783480334</v>
      </c>
      <c r="D109" s="11">
        <v>1661026.0804002865</v>
      </c>
      <c r="E109" s="17">
        <f t="shared" si="22"/>
        <v>655123.22325743572</v>
      </c>
      <c r="F109" s="17">
        <f t="shared" si="23"/>
        <v>82489.600000000006</v>
      </c>
      <c r="G109" s="21">
        <v>14.6</v>
      </c>
      <c r="H109" s="21">
        <v>21.809887199999999</v>
      </c>
      <c r="I109" s="17">
        <f t="shared" si="24"/>
        <v>187.88411122913794</v>
      </c>
      <c r="J109" s="20">
        <f t="shared" si="27"/>
        <v>2184.3031706113929</v>
      </c>
      <c r="K109" s="22">
        <v>4.9675732123561661E-2</v>
      </c>
      <c r="L109" s="35"/>
      <c r="M109" s="2">
        <f t="shared" si="29"/>
        <v>2229.0223114014152</v>
      </c>
      <c r="N109" s="2">
        <f t="shared" si="30"/>
        <v>187.88411122913794</v>
      </c>
      <c r="O109" s="2">
        <f>M109+SUM($N$97:N109)</f>
        <v>4601.2095932419461</v>
      </c>
      <c r="P109" s="2">
        <f t="shared" si="28"/>
        <v>2372.1872818405309</v>
      </c>
    </row>
    <row r="110" spans="1:16" x14ac:dyDescent="0.25">
      <c r="A110">
        <v>1</v>
      </c>
      <c r="B110" s="10">
        <v>2031</v>
      </c>
      <c r="D110" s="43">
        <f>C152</f>
        <v>1699877.2219293118</v>
      </c>
      <c r="E110" s="17">
        <f t="shared" ref="E110:E129" si="31">F67</f>
        <v>586573.2219293192</v>
      </c>
      <c r="F110" s="17">
        <f t="shared" ref="F110:F129" si="32">D24</f>
        <v>83968.166233765398</v>
      </c>
      <c r="G110" s="21">
        <v>14.6</v>
      </c>
      <c r="H110" s="21">
        <v>21.809887199999999</v>
      </c>
      <c r="I110" s="17">
        <f t="shared" si="24"/>
        <v>191.25179761292966</v>
      </c>
      <c r="J110" s="20">
        <f t="shared" si="27"/>
        <v>2372.1872818405309</v>
      </c>
      <c r="K110" s="47">
        <f>K109</f>
        <v>4.9675732123561661E-2</v>
      </c>
      <c r="L110" s="47"/>
    </row>
    <row r="111" spans="1:16" x14ac:dyDescent="0.25">
      <c r="A111">
        <v>2</v>
      </c>
      <c r="B111" s="10">
        <v>2032</v>
      </c>
      <c r="D111" s="43">
        <f t="shared" ref="D111:D129" si="33">C153</f>
        <v>1739712.7580529451</v>
      </c>
      <c r="E111" s="17">
        <f t="shared" si="31"/>
        <v>514718.47233866714</v>
      </c>
      <c r="F111" s="17">
        <f t="shared" si="32"/>
        <v>85290.763636363437</v>
      </c>
      <c r="G111" s="21">
        <v>14.6</v>
      </c>
      <c r="H111" s="21">
        <v>21.809887199999999</v>
      </c>
      <c r="I111" s="17">
        <f t="shared" si="24"/>
        <v>194.26423842366339</v>
      </c>
      <c r="J111" s="20">
        <f t="shared" si="27"/>
        <v>2563.4390794534606</v>
      </c>
      <c r="K111" s="47">
        <f t="shared" ref="K111:K129" si="34">K110</f>
        <v>4.9675732123561661E-2</v>
      </c>
      <c r="L111" s="47"/>
    </row>
    <row r="112" spans="1:16" x14ac:dyDescent="0.25">
      <c r="A112">
        <v>3</v>
      </c>
      <c r="B112" s="10">
        <v>2033</v>
      </c>
      <c r="D112" s="43">
        <f t="shared" si="33"/>
        <v>1779272.0068622828</v>
      </c>
      <c r="E112" s="17">
        <f t="shared" si="31"/>
        <v>438298.2925765774</v>
      </c>
      <c r="F112" s="17">
        <f t="shared" si="32"/>
        <v>86457.392207791214</v>
      </c>
      <c r="G112" s="21">
        <v>14.6</v>
      </c>
      <c r="H112" s="21">
        <v>21.809887199999999</v>
      </c>
      <c r="I112" s="17">
        <f t="shared" si="24"/>
        <v>196.92143366133246</v>
      </c>
      <c r="J112" s="20">
        <f t="shared" si="27"/>
        <v>2757.7033178771239</v>
      </c>
      <c r="K112" s="47">
        <f t="shared" si="34"/>
        <v>4.9675732123561661E-2</v>
      </c>
      <c r="L112" s="47"/>
    </row>
    <row r="113" spans="1:12" x14ac:dyDescent="0.25">
      <c r="A113">
        <v>4</v>
      </c>
      <c r="B113" s="10">
        <v>2034</v>
      </c>
      <c r="D113" s="43">
        <f t="shared" si="33"/>
        <v>1818554.9683576822</v>
      </c>
      <c r="E113" s="17">
        <f t="shared" si="31"/>
        <v>357312.68264340586</v>
      </c>
      <c r="F113" s="17">
        <f t="shared" si="32"/>
        <v>87468.051948051565</v>
      </c>
      <c r="G113" s="21">
        <v>14.6</v>
      </c>
      <c r="H113" s="21">
        <v>21.809887199999999</v>
      </c>
      <c r="I113" s="17">
        <f t="shared" si="24"/>
        <v>199.22338332594336</v>
      </c>
      <c r="J113" s="20">
        <f t="shared" si="27"/>
        <v>2954.6247515384566</v>
      </c>
      <c r="K113" s="47">
        <f t="shared" si="34"/>
        <v>4.9675732123561661E-2</v>
      </c>
      <c r="L113" s="47"/>
    </row>
    <row r="114" spans="1:12" x14ac:dyDescent="0.25">
      <c r="A114">
        <v>5</v>
      </c>
      <c r="B114" s="10">
        <v>2035</v>
      </c>
      <c r="D114" s="43">
        <f t="shared" si="33"/>
        <v>1857561.6425389051</v>
      </c>
      <c r="E114" s="17">
        <f t="shared" si="31"/>
        <v>271761.64253891422</v>
      </c>
      <c r="F114" s="17">
        <f t="shared" si="32"/>
        <v>88322.74285714305</v>
      </c>
      <c r="G114" s="21">
        <v>14.6</v>
      </c>
      <c r="H114" s="21">
        <v>21.809887199999999</v>
      </c>
      <c r="I114" s="17">
        <f t="shared" si="24"/>
        <v>201.17008741749282</v>
      </c>
      <c r="J114" s="20">
        <f t="shared" si="27"/>
        <v>3153.8481348644</v>
      </c>
      <c r="K114" s="47">
        <f t="shared" si="34"/>
        <v>4.9675732123561661E-2</v>
      </c>
      <c r="L114" s="47"/>
    </row>
    <row r="115" spans="1:12" x14ac:dyDescent="0.25">
      <c r="A115">
        <v>6</v>
      </c>
      <c r="B115" s="10">
        <v>2036</v>
      </c>
      <c r="D115" s="43">
        <f t="shared" si="33"/>
        <v>1896292.0294060707</v>
      </c>
      <c r="E115" s="17">
        <f t="shared" si="31"/>
        <v>181645.1722632235</v>
      </c>
      <c r="F115" s="17">
        <f t="shared" si="32"/>
        <v>89021.464935064374</v>
      </c>
      <c r="G115" s="21">
        <v>14.6</v>
      </c>
      <c r="H115" s="21">
        <v>21.809887199999999</v>
      </c>
      <c r="I115" s="17">
        <f t="shared" si="24"/>
        <v>202.76154593597789</v>
      </c>
      <c r="J115" s="20">
        <f t="shared" si="27"/>
        <v>3355.018222281893</v>
      </c>
      <c r="K115" s="47">
        <f t="shared" si="34"/>
        <v>4.9675732123561661E-2</v>
      </c>
      <c r="L115" s="47"/>
    </row>
    <row r="116" spans="1:12" x14ac:dyDescent="0.25">
      <c r="A116">
        <v>7</v>
      </c>
      <c r="B116" s="10">
        <v>2037</v>
      </c>
      <c r="D116" s="43">
        <f t="shared" si="33"/>
        <v>1934746.1289587021</v>
      </c>
      <c r="E116" s="17">
        <f t="shared" si="31"/>
        <v>86963.271815854823</v>
      </c>
      <c r="F116" s="17">
        <f t="shared" si="32"/>
        <v>89564.218181818185</v>
      </c>
      <c r="G116" s="21">
        <v>14.6</v>
      </c>
      <c r="H116" s="21">
        <v>21.809887199999999</v>
      </c>
      <c r="I116" s="17">
        <f t="shared" si="24"/>
        <v>203.99775888140454</v>
      </c>
      <c r="J116" s="20">
        <f t="shared" si="27"/>
        <v>3557.7797682178707</v>
      </c>
      <c r="K116" s="47">
        <f t="shared" si="34"/>
        <v>4.9675732123561661E-2</v>
      </c>
      <c r="L116" s="47"/>
    </row>
    <row r="117" spans="1:12" x14ac:dyDescent="0.25">
      <c r="A117">
        <v>8</v>
      </c>
      <c r="B117" s="10">
        <v>2038</v>
      </c>
      <c r="D117" s="43">
        <f t="shared" si="33"/>
        <v>1972923.9411973953</v>
      </c>
      <c r="E117" s="17">
        <f t="shared" si="31"/>
        <v>0</v>
      </c>
      <c r="F117" s="17">
        <f t="shared" si="32"/>
        <v>81910.527744795254</v>
      </c>
      <c r="G117" s="21">
        <v>14.6</v>
      </c>
      <c r="H117" s="21">
        <v>21.809887199999999</v>
      </c>
      <c r="I117" s="17">
        <f t="shared" si="24"/>
        <v>186.56517555716724</v>
      </c>
      <c r="J117" s="20">
        <f t="shared" si="27"/>
        <v>3761.7775270992752</v>
      </c>
      <c r="K117" s="47">
        <f t="shared" si="34"/>
        <v>4.9675732123561661E-2</v>
      </c>
      <c r="L117" s="47"/>
    </row>
    <row r="118" spans="1:12" x14ac:dyDescent="0.25">
      <c r="A118">
        <v>9</v>
      </c>
      <c r="B118" s="10">
        <v>2039</v>
      </c>
      <c r="D118" s="43">
        <f t="shared" si="33"/>
        <v>2010825.466121912</v>
      </c>
      <c r="E118" s="17">
        <f t="shared" si="31"/>
        <v>0</v>
      </c>
      <c r="F118" s="17">
        <f t="shared" si="32"/>
        <v>24119.152224692432</v>
      </c>
      <c r="G118" s="21">
        <v>14.6</v>
      </c>
      <c r="H118" s="21">
        <v>21.809887199999999</v>
      </c>
      <c r="I118" s="17">
        <f t="shared" si="24"/>
        <v>54.93547646414364</v>
      </c>
      <c r="J118" s="20">
        <f t="shared" si="27"/>
        <v>3948.3427026564423</v>
      </c>
      <c r="K118" s="47">
        <f t="shared" si="34"/>
        <v>4.9675732123561661E-2</v>
      </c>
      <c r="L118" s="47"/>
    </row>
    <row r="119" spans="1:12" x14ac:dyDescent="0.25">
      <c r="A119">
        <v>10</v>
      </c>
      <c r="B119" s="10">
        <v>2040</v>
      </c>
      <c r="D119" s="43">
        <f t="shared" si="33"/>
        <v>2048450.7037320137</v>
      </c>
      <c r="E119" s="17">
        <f t="shared" si="31"/>
        <v>0</v>
      </c>
      <c r="F119" s="17">
        <f t="shared" si="32"/>
        <v>23259.237795335597</v>
      </c>
      <c r="G119" s="21">
        <v>14.6</v>
      </c>
      <c r="H119" s="21">
        <v>21.809887199999999</v>
      </c>
      <c r="I119" s="17">
        <f t="shared" si="24"/>
        <v>52.976874915671829</v>
      </c>
      <c r="J119" s="20">
        <f t="shared" si="27"/>
        <v>4003.2781791205857</v>
      </c>
      <c r="K119" s="47">
        <f t="shared" si="34"/>
        <v>4.9675732123561661E-2</v>
      </c>
      <c r="L119" s="47"/>
    </row>
    <row r="120" spans="1:12" x14ac:dyDescent="0.25">
      <c r="A120">
        <v>11</v>
      </c>
      <c r="B120" s="10">
        <v>2041</v>
      </c>
      <c r="D120" s="43">
        <f t="shared" si="33"/>
        <v>2085799.6540281773</v>
      </c>
      <c r="E120" s="17">
        <f t="shared" si="31"/>
        <v>0</v>
      </c>
      <c r="F120" s="17">
        <f t="shared" si="32"/>
        <v>22409.370177698132</v>
      </c>
      <c r="G120" s="21">
        <v>14.6</v>
      </c>
      <c r="H120" s="21">
        <v>21.809887199999999</v>
      </c>
      <c r="I120" s="17">
        <f t="shared" si="24"/>
        <v>51.041156691771597</v>
      </c>
      <c r="J120" s="20">
        <f t="shared" si="27"/>
        <v>4056.2550540362577</v>
      </c>
      <c r="K120" s="47">
        <f t="shared" si="34"/>
        <v>4.9675732123561661E-2</v>
      </c>
      <c r="L120" s="47"/>
    </row>
    <row r="121" spans="1:12" x14ac:dyDescent="0.25">
      <c r="A121">
        <v>12</v>
      </c>
      <c r="B121" s="10">
        <v>2042</v>
      </c>
      <c r="D121" s="43">
        <f t="shared" si="33"/>
        <v>2122872.3170102835</v>
      </c>
      <c r="E121" s="17">
        <f t="shared" si="31"/>
        <v>0</v>
      </c>
      <c r="F121" s="17">
        <f t="shared" si="32"/>
        <v>21569.549371407247</v>
      </c>
      <c r="G121" s="21">
        <v>14.6</v>
      </c>
      <c r="H121" s="21">
        <v>21.809887199999999</v>
      </c>
      <c r="I121" s="17">
        <f t="shared" si="24"/>
        <v>49.128321791593876</v>
      </c>
      <c r="J121" s="20">
        <f t="shared" si="27"/>
        <v>4107.2962107280291</v>
      </c>
      <c r="K121" s="47">
        <f t="shared" si="34"/>
        <v>4.9675732123561661E-2</v>
      </c>
      <c r="L121" s="47"/>
    </row>
    <row r="122" spans="1:12" x14ac:dyDescent="0.25">
      <c r="A122">
        <v>13</v>
      </c>
      <c r="B122" s="10">
        <v>2043</v>
      </c>
      <c r="D122" s="43">
        <f t="shared" si="33"/>
        <v>2159668.6926778555</v>
      </c>
      <c r="E122" s="17">
        <f t="shared" si="31"/>
        <v>0</v>
      </c>
      <c r="F122" s="17">
        <f t="shared" si="32"/>
        <v>20739.775376267869</v>
      </c>
      <c r="G122" s="21">
        <v>14.6</v>
      </c>
      <c r="H122" s="21">
        <v>21.809887199999999</v>
      </c>
      <c r="I122" s="17">
        <f t="shared" si="24"/>
        <v>47.238370214694328</v>
      </c>
      <c r="J122" s="20">
        <f t="shared" si="27"/>
        <v>4156.4245325196234</v>
      </c>
      <c r="K122" s="47">
        <f t="shared" si="34"/>
        <v>4.9675732123561661E-2</v>
      </c>
      <c r="L122" s="47"/>
    </row>
    <row r="123" spans="1:12" x14ac:dyDescent="0.25">
      <c r="A123">
        <v>14</v>
      </c>
      <c r="B123" s="10">
        <v>2044</v>
      </c>
      <c r="D123" s="43">
        <f t="shared" si="33"/>
        <v>2196188.7810314894</v>
      </c>
      <c r="E123" s="17">
        <f t="shared" si="31"/>
        <v>0</v>
      </c>
      <c r="F123" s="17">
        <f t="shared" si="32"/>
        <v>19920.048192891209</v>
      </c>
      <c r="G123" s="21">
        <v>14.6</v>
      </c>
      <c r="H123" s="21">
        <v>21.809887199999999</v>
      </c>
      <c r="I123" s="17">
        <f t="shared" si="24"/>
        <v>45.37130196246509</v>
      </c>
      <c r="J123" s="20">
        <f t="shared" si="27"/>
        <v>4203.6629027343179</v>
      </c>
      <c r="K123" s="47">
        <f t="shared" si="34"/>
        <v>4.9675732123561661E-2</v>
      </c>
      <c r="L123" s="47"/>
    </row>
    <row r="124" spans="1:12" x14ac:dyDescent="0.25">
      <c r="A124">
        <v>15</v>
      </c>
      <c r="B124" s="10">
        <v>2045</v>
      </c>
      <c r="D124" s="43">
        <f t="shared" si="33"/>
        <v>2232432.5820710659</v>
      </c>
      <c r="E124" s="17">
        <f t="shared" si="31"/>
        <v>0</v>
      </c>
      <c r="F124" s="17">
        <f t="shared" si="32"/>
        <v>19110.367820867625</v>
      </c>
      <c r="G124" s="21">
        <v>14.6</v>
      </c>
      <c r="H124" s="21">
        <v>21.809887199999999</v>
      </c>
      <c r="I124" s="17">
        <f t="shared" si="24"/>
        <v>43.527117033973148</v>
      </c>
      <c r="J124" s="20">
        <f t="shared" si="27"/>
        <v>4249.0342046967826</v>
      </c>
      <c r="K124" s="47">
        <f t="shared" si="34"/>
        <v>4.9675732123561661E-2</v>
      </c>
      <c r="L124" s="47"/>
    </row>
    <row r="125" spans="1:12" x14ac:dyDescent="0.25">
      <c r="A125">
        <v>16</v>
      </c>
      <c r="B125" s="10">
        <v>2046</v>
      </c>
      <c r="D125" s="43">
        <f t="shared" si="33"/>
        <v>2268400.0957963467</v>
      </c>
      <c r="E125" s="17">
        <f t="shared" si="31"/>
        <v>0</v>
      </c>
      <c r="F125" s="17">
        <f t="shared" si="32"/>
        <v>18310.734260142934</v>
      </c>
      <c r="G125" s="21">
        <v>14.6</v>
      </c>
      <c r="H125" s="21">
        <v>21.809887199999999</v>
      </c>
      <c r="I125" s="17">
        <f t="shared" si="24"/>
        <v>41.70581542909509</v>
      </c>
      <c r="J125" s="20">
        <f t="shared" si="27"/>
        <v>4292.5613217307555</v>
      </c>
      <c r="K125" s="47">
        <f t="shared" si="34"/>
        <v>4.9675732123561661E-2</v>
      </c>
      <c r="L125" s="47"/>
    </row>
    <row r="126" spans="1:12" x14ac:dyDescent="0.25">
      <c r="A126">
        <v>17</v>
      </c>
      <c r="B126" s="10">
        <v>2047</v>
      </c>
      <c r="D126" s="43">
        <f t="shared" si="33"/>
        <v>2304091.3222073317</v>
      </c>
      <c r="E126" s="17">
        <f t="shared" si="31"/>
        <v>0</v>
      </c>
      <c r="F126" s="17">
        <f t="shared" si="32"/>
        <v>17521.147510847179</v>
      </c>
      <c r="G126" s="21">
        <v>14.6</v>
      </c>
      <c r="H126" s="21">
        <v>21.809887199999999</v>
      </c>
      <c r="I126" s="17">
        <f t="shared" si="24"/>
        <v>39.907397148127096</v>
      </c>
      <c r="J126" s="20">
        <f t="shared" si="27"/>
        <v>4334.2671371598508</v>
      </c>
      <c r="K126" s="47">
        <f t="shared" si="34"/>
        <v>4.9675732123561661E-2</v>
      </c>
      <c r="L126" s="47"/>
    </row>
    <row r="127" spans="1:12" x14ac:dyDescent="0.25">
      <c r="A127">
        <v>18</v>
      </c>
      <c r="B127" s="10">
        <v>2048</v>
      </c>
      <c r="D127" s="43">
        <f t="shared" si="33"/>
        <v>2339506.2613042593</v>
      </c>
      <c r="E127" s="17">
        <f t="shared" si="31"/>
        <v>0</v>
      </c>
      <c r="F127" s="17">
        <f t="shared" si="32"/>
        <v>16741.607573093068</v>
      </c>
      <c r="G127" s="21">
        <v>14.6</v>
      </c>
      <c r="H127" s="21">
        <v>21.809887199999999</v>
      </c>
      <c r="I127" s="17">
        <f t="shared" si="24"/>
        <v>38.131862191325894</v>
      </c>
      <c r="J127" s="20">
        <f t="shared" si="27"/>
        <v>4374.1745343079783</v>
      </c>
      <c r="K127" s="47">
        <f t="shared" si="34"/>
        <v>4.9675732123561661E-2</v>
      </c>
      <c r="L127" s="47"/>
    </row>
    <row r="128" spans="1:12" x14ac:dyDescent="0.25">
      <c r="A128">
        <v>19</v>
      </c>
      <c r="B128" s="10">
        <v>2049</v>
      </c>
      <c r="D128" s="43">
        <f t="shared" si="33"/>
        <v>2374644.9130871296</v>
      </c>
      <c r="E128" s="17">
        <f t="shared" si="31"/>
        <v>0</v>
      </c>
      <c r="F128" s="17">
        <f t="shared" si="32"/>
        <v>15972.114446759224</v>
      </c>
      <c r="G128" s="21">
        <v>14.6</v>
      </c>
      <c r="H128" s="21">
        <v>21.809887199999999</v>
      </c>
      <c r="I128" s="17">
        <f t="shared" si="24"/>
        <v>36.379210558415018</v>
      </c>
      <c r="J128" s="20">
        <f t="shared" si="27"/>
        <v>4412.3063964993044</v>
      </c>
      <c r="K128" s="47">
        <f t="shared" si="34"/>
        <v>4.9675732123561661E-2</v>
      </c>
      <c r="L128" s="47"/>
    </row>
    <row r="129" spans="1:12" x14ac:dyDescent="0.25">
      <c r="A129">
        <v>20</v>
      </c>
      <c r="B129" s="10">
        <v>2050</v>
      </c>
      <c r="D129" s="43">
        <f t="shared" si="33"/>
        <v>2409507.2775554657</v>
      </c>
      <c r="E129" s="17">
        <f t="shared" si="31"/>
        <v>0</v>
      </c>
      <c r="F129" s="17">
        <f t="shared" si="32"/>
        <v>15212.668131637576</v>
      </c>
      <c r="G129" s="21">
        <v>14.6</v>
      </c>
      <c r="H129" s="21">
        <v>21.809887199999999</v>
      </c>
      <c r="I129" s="17">
        <f t="shared" si="24"/>
        <v>34.64944224892055</v>
      </c>
      <c r="J129" s="20">
        <f t="shared" si="27"/>
        <v>4448.6856070577196</v>
      </c>
      <c r="K129" s="47">
        <f t="shared" si="34"/>
        <v>4.9675732123561661E-2</v>
      </c>
      <c r="L129" s="47"/>
    </row>
    <row r="130" spans="1:12" x14ac:dyDescent="0.25">
      <c r="B130" t="s">
        <v>23</v>
      </c>
      <c r="C130" t="s">
        <v>24</v>
      </c>
      <c r="D130" t="s">
        <v>25</v>
      </c>
      <c r="E130" t="s">
        <v>27</v>
      </c>
    </row>
    <row r="132" spans="1:12" x14ac:dyDescent="0.25">
      <c r="E132" s="1"/>
    </row>
    <row r="133" spans="1:12" ht="39.75" x14ac:dyDescent="0.25">
      <c r="B133" s="24" t="s">
        <v>0</v>
      </c>
      <c r="C133" s="24" t="s">
        <v>1</v>
      </c>
      <c r="D133" s="25" t="s">
        <v>5</v>
      </c>
      <c r="E133" s="25" t="s">
        <v>6</v>
      </c>
      <c r="F133" s="23" t="s">
        <v>37</v>
      </c>
      <c r="G133" s="25" t="s">
        <v>72</v>
      </c>
      <c r="H133" s="25" t="s">
        <v>73</v>
      </c>
      <c r="I133" s="25" t="s">
        <v>74</v>
      </c>
    </row>
    <row r="134" spans="1:12" x14ac:dyDescent="0.25">
      <c r="B134" s="26">
        <v>2013</v>
      </c>
      <c r="C134" s="27">
        <v>1073183.6651212492</v>
      </c>
      <c r="D134" s="28">
        <v>0</v>
      </c>
      <c r="E134" s="28">
        <f t="shared" ref="E134:E151" si="35">F49</f>
        <v>1073183.6651212492</v>
      </c>
      <c r="F134" s="27">
        <v>4488.9048500498293</v>
      </c>
      <c r="G134" s="28">
        <f t="shared" ref="G134:G151" si="36">H6</f>
        <v>0</v>
      </c>
      <c r="H134" s="28">
        <f t="shared" ref="H134:H151" si="37">G49</f>
        <v>4488.9048500498293</v>
      </c>
      <c r="I134" s="28">
        <f>G134+H134</f>
        <v>4488.9048500498293</v>
      </c>
    </row>
    <row r="135" spans="1:12" x14ac:dyDescent="0.25">
      <c r="B135" s="26">
        <v>2014</v>
      </c>
      <c r="C135" s="27">
        <v>976651.16433813574</v>
      </c>
      <c r="D135" s="28">
        <v>0</v>
      </c>
      <c r="E135" s="28">
        <f t="shared" si="35"/>
        <v>976651.16433813574</v>
      </c>
      <c r="F135" s="27">
        <v>4409.1759291458902</v>
      </c>
      <c r="G135" s="28">
        <f t="shared" si="36"/>
        <v>0</v>
      </c>
      <c r="H135" s="28">
        <f t="shared" si="37"/>
        <v>4409.1759291458893</v>
      </c>
      <c r="I135" s="28">
        <f t="shared" ref="I135:I171" si="38">G135+H135</f>
        <v>4409.1759291458893</v>
      </c>
    </row>
    <row r="136" spans="1:12" x14ac:dyDescent="0.25">
      <c r="B136" s="26">
        <v>2015</v>
      </c>
      <c r="C136" s="27">
        <v>1019571.4085290028</v>
      </c>
      <c r="D136" s="28">
        <v>0</v>
      </c>
      <c r="E136" s="28">
        <f t="shared" si="35"/>
        <v>1019571.4085290028</v>
      </c>
      <c r="F136" s="27">
        <v>4697.8044143992256</v>
      </c>
      <c r="G136" s="28">
        <f t="shared" si="36"/>
        <v>0</v>
      </c>
      <c r="H136" s="28">
        <f t="shared" si="37"/>
        <v>4697.8044143992256</v>
      </c>
      <c r="I136" s="28">
        <f t="shared" si="38"/>
        <v>4697.8044143992256</v>
      </c>
    </row>
    <row r="137" spans="1:12" x14ac:dyDescent="0.25">
      <c r="B137" s="26">
        <v>2016</v>
      </c>
      <c r="C137" s="27">
        <v>1117970.6924468274</v>
      </c>
      <c r="D137" s="28">
        <v>0</v>
      </c>
      <c r="E137" s="28">
        <f t="shared" si="35"/>
        <v>1117970.6924468274</v>
      </c>
      <c r="F137" s="27">
        <v>4861.015568828896</v>
      </c>
      <c r="G137" s="28">
        <f t="shared" si="36"/>
        <v>0</v>
      </c>
      <c r="H137" s="28">
        <f t="shared" si="37"/>
        <v>4861.0155688288969</v>
      </c>
      <c r="I137" s="28">
        <f t="shared" si="38"/>
        <v>4861.0155688288969</v>
      </c>
    </row>
    <row r="138" spans="1:12" x14ac:dyDescent="0.25">
      <c r="B138" s="26">
        <v>2017</v>
      </c>
      <c r="C138" s="27">
        <v>1053030.9082251894</v>
      </c>
      <c r="D138" s="28">
        <v>0</v>
      </c>
      <c r="E138" s="28">
        <f t="shared" si="35"/>
        <v>1053030.9082251894</v>
      </c>
      <c r="F138" s="27">
        <v>4774.6817019902828</v>
      </c>
      <c r="G138" s="28">
        <f t="shared" si="36"/>
        <v>0</v>
      </c>
      <c r="H138" s="28">
        <f t="shared" si="37"/>
        <v>4774.6817019902837</v>
      </c>
      <c r="I138" s="28">
        <f t="shared" si="38"/>
        <v>4774.6817019902837</v>
      </c>
    </row>
    <row r="139" spans="1:12" x14ac:dyDescent="0.25">
      <c r="B139" s="26">
        <v>2018</v>
      </c>
      <c r="C139" s="27">
        <v>1166385.7116395417</v>
      </c>
      <c r="D139" s="28">
        <f>F11</f>
        <v>51443.285714285448</v>
      </c>
      <c r="E139" s="28">
        <f t="shared" si="35"/>
        <v>1114743.4259252562</v>
      </c>
      <c r="F139" s="27">
        <v>4784.7519434793039</v>
      </c>
      <c r="G139" s="28">
        <f t="shared" si="36"/>
        <v>190.7124919777599</v>
      </c>
      <c r="H139" s="28">
        <f t="shared" si="37"/>
        <v>4572.9047607923612</v>
      </c>
      <c r="I139" s="28">
        <f t="shared" si="38"/>
        <v>4763.617252770121</v>
      </c>
    </row>
    <row r="140" spans="1:12" x14ac:dyDescent="0.25">
      <c r="B140" s="26">
        <v>2019</v>
      </c>
      <c r="C140" s="27">
        <v>1206991.5861911501</v>
      </c>
      <c r="D140" s="28">
        <f t="shared" ref="D140:D172" si="39">F12</f>
        <v>107094.71428571269</v>
      </c>
      <c r="E140" s="28">
        <f t="shared" si="35"/>
        <v>1099417.8719054374</v>
      </c>
      <c r="F140" s="27">
        <v>4809.2963508437269</v>
      </c>
      <c r="G140" s="28">
        <f t="shared" si="36"/>
        <v>383.73169905376483</v>
      </c>
      <c r="H140" s="28">
        <f t="shared" si="37"/>
        <v>4374.8827982689982</v>
      </c>
      <c r="I140" s="28">
        <f t="shared" si="38"/>
        <v>4758.6144973227629</v>
      </c>
    </row>
    <row r="141" spans="1:12" x14ac:dyDescent="0.25">
      <c r="B141" s="26">
        <v>2020</v>
      </c>
      <c r="C141" s="27">
        <v>1247784.1313553418</v>
      </c>
      <c r="D141" s="28">
        <f t="shared" si="39"/>
        <v>166220.3662337641</v>
      </c>
      <c r="E141" s="28">
        <f t="shared" si="35"/>
        <v>1079989.8456410584</v>
      </c>
      <c r="F141" s="27">
        <v>4845.536453345142</v>
      </c>
      <c r="G141" s="28">
        <f t="shared" si="36"/>
        <v>575.79022424019638</v>
      </c>
      <c r="H141" s="28">
        <f t="shared" si="37"/>
        <v>4178.1480588033046</v>
      </c>
      <c r="I141" s="28">
        <f t="shared" si="38"/>
        <v>4753.9382830435006</v>
      </c>
    </row>
    <row r="142" spans="1:12" x14ac:dyDescent="0.25">
      <c r="B142" s="26">
        <v>2021</v>
      </c>
      <c r="C142" s="27">
        <v>1288748.2711188961</v>
      </c>
      <c r="D142" s="28">
        <f t="shared" si="39"/>
        <v>228384.27272727084</v>
      </c>
      <c r="E142" s="28">
        <f t="shared" si="35"/>
        <v>1056444.2711188979</v>
      </c>
      <c r="F142" s="27">
        <v>4893.1151305214926</v>
      </c>
      <c r="G142" s="28">
        <f t="shared" si="36"/>
        <v>764.25962459087987</v>
      </c>
      <c r="H142" s="28">
        <f t="shared" si="37"/>
        <v>3982.5406391933921</v>
      </c>
      <c r="I142" s="28">
        <f t="shared" si="38"/>
        <v>4746.8002637842719</v>
      </c>
    </row>
    <row r="143" spans="1:12" x14ac:dyDescent="0.25">
      <c r="B143" s="26">
        <v>2022</v>
      </c>
      <c r="C143" s="27">
        <v>1329857.3224403893</v>
      </c>
      <c r="D143" s="28">
        <f t="shared" si="39"/>
        <v>293430.46493506228</v>
      </c>
      <c r="E143" s="28">
        <f t="shared" si="35"/>
        <v>1028754.4652975349</v>
      </c>
      <c r="F143" s="27">
        <v>4952.0423023853336</v>
      </c>
      <c r="G143" s="28">
        <f t="shared" si="36"/>
        <v>948.27099166332164</v>
      </c>
      <c r="H143" s="28">
        <f t="shared" si="37"/>
        <v>3788.1330883649975</v>
      </c>
      <c r="I143" s="28">
        <f t="shared" si="38"/>
        <v>4736.4040800283192</v>
      </c>
    </row>
    <row r="144" spans="1:12" x14ac:dyDescent="0.25">
      <c r="B144" s="26">
        <v>2023</v>
      </c>
      <c r="C144" s="27">
        <v>1371090.8945916586</v>
      </c>
      <c r="D144" s="28">
        <f t="shared" si="39"/>
        <v>361202.97402597137</v>
      </c>
      <c r="E144" s="28">
        <f t="shared" si="35"/>
        <v>996900.03744880413</v>
      </c>
      <c r="F144" s="27">
        <v>5022.1493287186813</v>
      </c>
      <c r="G144" s="28">
        <f t="shared" si="36"/>
        <v>1127.5935155603872</v>
      </c>
      <c r="H144" s="28">
        <f t="shared" si="37"/>
        <v>3594.6941276091529</v>
      </c>
      <c r="I144" s="28">
        <f t="shared" si="38"/>
        <v>4722.2876431695404</v>
      </c>
    </row>
    <row r="145" spans="2:9" x14ac:dyDescent="0.25">
      <c r="B145" s="26">
        <v>2024</v>
      </c>
      <c r="C145" s="27">
        <v>1412434.5035978679</v>
      </c>
      <c r="D145" s="28">
        <f t="shared" si="39"/>
        <v>431545.83116882754</v>
      </c>
      <c r="E145" s="28">
        <f t="shared" si="35"/>
        <v>960866.50359787163</v>
      </c>
      <c r="F145" s="27">
        <v>5103.1187691104178</v>
      </c>
      <c r="G145" s="28">
        <f t="shared" si="36"/>
        <v>1302.1263723239044</v>
      </c>
      <c r="H145" s="28">
        <f t="shared" si="37"/>
        <v>3401.7275357727162</v>
      </c>
      <c r="I145" s="28">
        <f t="shared" si="38"/>
        <v>4703.8539080966202</v>
      </c>
    </row>
    <row r="146" spans="2:9" x14ac:dyDescent="0.25">
      <c r="B146" s="26">
        <v>2025</v>
      </c>
      <c r="C146" s="27">
        <v>1453842.0175012546</v>
      </c>
      <c r="D146" s="28">
        <f t="shared" si="39"/>
        <v>504303.0675324637</v>
      </c>
      <c r="E146" s="28">
        <f t="shared" si="35"/>
        <v>920607.73178697284</v>
      </c>
      <c r="F146" s="27">
        <v>5195.5160642926385</v>
      </c>
      <c r="G146" s="28">
        <f t="shared" si="36"/>
        <v>1471.9224192676895</v>
      </c>
      <c r="H146" s="28">
        <f t="shared" si="37"/>
        <v>3209.4200578255795</v>
      </c>
      <c r="I146" s="28">
        <f t="shared" si="38"/>
        <v>4681.3424770932688</v>
      </c>
    </row>
    <row r="147" spans="2:9" x14ac:dyDescent="0.25">
      <c r="B147" s="26">
        <v>2026</v>
      </c>
      <c r="C147" s="27">
        <v>1495296.6218874408</v>
      </c>
      <c r="D147" s="28">
        <f t="shared" si="39"/>
        <v>579318.71428570931</v>
      </c>
      <c r="E147" s="28">
        <f t="shared" si="35"/>
        <v>876106.90760173183</v>
      </c>
      <c r="F147" s="27">
        <v>5299.0832939312513</v>
      </c>
      <c r="G147" s="28">
        <f t="shared" si="36"/>
        <v>1644.851427570896</v>
      </c>
      <c r="H147" s="28">
        <f t="shared" si="37"/>
        <v>3016.9885445153573</v>
      </c>
      <c r="I147" s="28">
        <f t="shared" si="38"/>
        <v>4661.8399720862535</v>
      </c>
    </row>
    <row r="148" spans="2:9" x14ac:dyDescent="0.25">
      <c r="B148" s="26">
        <v>2027</v>
      </c>
      <c r="C148" s="27">
        <v>1536770.45903657</v>
      </c>
      <c r="D148" s="28">
        <f t="shared" si="39"/>
        <v>656436.80259739712</v>
      </c>
      <c r="E148" s="28">
        <f t="shared" si="35"/>
        <v>827336.17332229018</v>
      </c>
      <c r="F148" s="27">
        <v>5413.8700580907316</v>
      </c>
      <c r="G148" s="28">
        <f t="shared" si="36"/>
        <v>1821.04984199554</v>
      </c>
      <c r="H148" s="28">
        <f t="shared" si="37"/>
        <v>2823.7634828396313</v>
      </c>
      <c r="I148" s="28">
        <f t="shared" si="38"/>
        <v>4644.8133248351714</v>
      </c>
    </row>
    <row r="149" spans="2:9" x14ac:dyDescent="0.25">
      <c r="B149" s="26">
        <v>2028</v>
      </c>
      <c r="C149" s="27">
        <v>1578233.9588539612</v>
      </c>
      <c r="D149" s="28">
        <f t="shared" si="39"/>
        <v>735501.36363635841</v>
      </c>
      <c r="E149" s="28">
        <f t="shared" si="35"/>
        <v>774265.95885396679</v>
      </c>
      <c r="F149" s="27">
        <v>5539.9656368863471</v>
      </c>
      <c r="G149" s="28">
        <f t="shared" si="36"/>
        <v>2000.7559830316393</v>
      </c>
      <c r="H149" s="28">
        <f t="shared" si="37"/>
        <v>2628.8861810769477</v>
      </c>
      <c r="I149" s="28">
        <f t="shared" si="38"/>
        <v>4629.6421641085872</v>
      </c>
    </row>
    <row r="150" spans="2:9" x14ac:dyDescent="0.25">
      <c r="B150" s="26">
        <v>2029</v>
      </c>
      <c r="C150" s="27">
        <v>1619667.6062884759</v>
      </c>
      <c r="D150" s="28">
        <f t="shared" si="39"/>
        <v>816356.4285714227</v>
      </c>
      <c r="E150" s="28">
        <f t="shared" si="35"/>
        <v>716876.74914562516</v>
      </c>
      <c r="F150" s="27">
        <v>5677.2013900999818</v>
      </c>
      <c r="G150" s="28">
        <f t="shared" si="36"/>
        <v>2184.3031706113929</v>
      </c>
      <c r="H150" s="28">
        <f t="shared" si="37"/>
        <v>2431.0033800523147</v>
      </c>
      <c r="I150" s="28">
        <f t="shared" si="38"/>
        <v>4615.3065506637076</v>
      </c>
    </row>
    <row r="151" spans="2:9" x14ac:dyDescent="0.25">
      <c r="B151" s="26">
        <v>2030</v>
      </c>
      <c r="C151" s="27">
        <v>1661026.0804002865</v>
      </c>
      <c r="D151" s="28">
        <f t="shared" si="39"/>
        <v>898846.02857142268</v>
      </c>
      <c r="E151" s="28">
        <f t="shared" si="35"/>
        <v>655123.22325743572</v>
      </c>
      <c r="F151" s="27">
        <v>5826.0534783480334</v>
      </c>
      <c r="G151" s="28">
        <f t="shared" si="36"/>
        <v>2372.1872818405309</v>
      </c>
      <c r="H151" s="28">
        <f t="shared" si="37"/>
        <v>2229.0223114014152</v>
      </c>
      <c r="I151" s="28">
        <f t="shared" si="38"/>
        <v>4601.2095932419461</v>
      </c>
    </row>
    <row r="152" spans="2:9" x14ac:dyDescent="0.25">
      <c r="B152" s="26">
        <v>2031</v>
      </c>
      <c r="C152" s="40">
        <f>$O$175+$O$174*B152+$O$173*B152^2</f>
        <v>1699877.2219293118</v>
      </c>
      <c r="D152" s="28">
        <f t="shared" si="39"/>
        <v>982814.1948051881</v>
      </c>
      <c r="E152" s="28">
        <f t="shared" ref="E152:E171" si="40">F67</f>
        <v>586573.2219293192</v>
      </c>
      <c r="G152" s="28">
        <f t="shared" ref="G152:G171" si="41">H24</f>
        <v>2563.4390794534606</v>
      </c>
      <c r="H152" s="28">
        <f t="shared" ref="H152:H171" si="42">G67</f>
        <v>1995.7845372202291</v>
      </c>
      <c r="I152" s="28">
        <f t="shared" si="38"/>
        <v>4559.2236166736893</v>
      </c>
    </row>
    <row r="153" spans="2:9" x14ac:dyDescent="0.25">
      <c r="B153" s="26">
        <v>2032</v>
      </c>
      <c r="C153" s="40">
        <f t="shared" ref="C153:C171" si="43">$O$175+$O$174*B153+$O$173*B153^2</f>
        <v>1739712.7580529451</v>
      </c>
      <c r="D153" s="28">
        <f t="shared" si="39"/>
        <v>1068104.9584415515</v>
      </c>
      <c r="E153" s="28">
        <f t="shared" si="40"/>
        <v>514718.47233866714</v>
      </c>
      <c r="G153" s="28">
        <f t="shared" si="41"/>
        <v>2757.7033178771239</v>
      </c>
      <c r="H153" s="28">
        <f t="shared" si="42"/>
        <v>1751.3025308866104</v>
      </c>
      <c r="I153" s="28">
        <f t="shared" si="38"/>
        <v>4509.0058487637343</v>
      </c>
    </row>
    <row r="154" spans="2:9" x14ac:dyDescent="0.25">
      <c r="B154" s="26">
        <v>2033</v>
      </c>
      <c r="C154" s="40">
        <f t="shared" si="43"/>
        <v>1779272.0068622828</v>
      </c>
      <c r="D154" s="28">
        <f t="shared" si="39"/>
        <v>1154562.3506493429</v>
      </c>
      <c r="E154" s="28">
        <f t="shared" si="40"/>
        <v>438298.2925765774</v>
      </c>
      <c r="G154" s="28">
        <f t="shared" si="41"/>
        <v>2954.6247515384566</v>
      </c>
      <c r="H154" s="28">
        <f t="shared" si="42"/>
        <v>1491.286888510172</v>
      </c>
      <c r="I154" s="28">
        <f t="shared" si="38"/>
        <v>4445.9116400486291</v>
      </c>
    </row>
    <row r="155" spans="2:9" x14ac:dyDescent="0.25">
      <c r="B155" s="26">
        <v>2034</v>
      </c>
      <c r="C155" s="40">
        <f t="shared" si="43"/>
        <v>1818554.9683576822</v>
      </c>
      <c r="D155" s="28">
        <f t="shared" si="39"/>
        <v>1242030.4025973945</v>
      </c>
      <c r="E155" s="28">
        <f t="shared" si="40"/>
        <v>357312.68264340586</v>
      </c>
      <c r="G155" s="28">
        <f t="shared" si="41"/>
        <v>3153.8481348644</v>
      </c>
      <c r="H155" s="28">
        <f t="shared" si="42"/>
        <v>1215.7376100921254</v>
      </c>
      <c r="I155" s="28">
        <f t="shared" si="38"/>
        <v>4369.5857449565256</v>
      </c>
    </row>
    <row r="156" spans="2:9" x14ac:dyDescent="0.25">
      <c r="B156" s="26">
        <v>2035</v>
      </c>
      <c r="C156" s="40">
        <f t="shared" si="43"/>
        <v>1857561.6425389051</v>
      </c>
      <c r="D156" s="28">
        <f t="shared" si="39"/>
        <v>1330353.1454545376</v>
      </c>
      <c r="E156" s="28">
        <f t="shared" si="40"/>
        <v>271761.64253891422</v>
      </c>
      <c r="G156" s="28">
        <f t="shared" si="41"/>
        <v>3355.018222281893</v>
      </c>
      <c r="H156" s="28">
        <f t="shared" si="42"/>
        <v>924.65469563165902</v>
      </c>
      <c r="I156" s="28">
        <f t="shared" si="38"/>
        <v>4279.6729179135518</v>
      </c>
    </row>
    <row r="157" spans="2:9" x14ac:dyDescent="0.25">
      <c r="B157" s="26">
        <v>2036</v>
      </c>
      <c r="C157" s="40">
        <f t="shared" si="43"/>
        <v>1896292.0294060707</v>
      </c>
      <c r="D157" s="28">
        <f t="shared" si="39"/>
        <v>1419374.6103896019</v>
      </c>
      <c r="E157" s="28">
        <f t="shared" si="40"/>
        <v>181645.1722632235</v>
      </c>
      <c r="G157" s="28">
        <f t="shared" si="41"/>
        <v>3557.7797682178707</v>
      </c>
      <c r="H157" s="28">
        <f t="shared" si="42"/>
        <v>618.03814512918518</v>
      </c>
      <c r="I157" s="28">
        <f t="shared" si="38"/>
        <v>4175.8179133470558</v>
      </c>
    </row>
    <row r="158" spans="2:9" x14ac:dyDescent="0.25">
      <c r="B158" s="26">
        <v>2037</v>
      </c>
      <c r="C158" s="40">
        <f t="shared" si="43"/>
        <v>1934746.1289587021</v>
      </c>
      <c r="D158" s="28">
        <f t="shared" si="39"/>
        <v>1508938.8285714202</v>
      </c>
      <c r="E158" s="28">
        <f t="shared" si="40"/>
        <v>86963.271815854823</v>
      </c>
      <c r="G158" s="28">
        <f t="shared" si="41"/>
        <v>3761.7775270992752</v>
      </c>
      <c r="H158" s="28">
        <f t="shared" si="42"/>
        <v>295.88795858307424</v>
      </c>
      <c r="I158" s="28">
        <f t="shared" si="38"/>
        <v>4057.6654856823493</v>
      </c>
    </row>
    <row r="159" spans="2:9" x14ac:dyDescent="0.25">
      <c r="B159" s="26">
        <v>2038</v>
      </c>
      <c r="C159" s="40">
        <f t="shared" si="43"/>
        <v>1972923.9411973953</v>
      </c>
      <c r="D159" s="28">
        <f t="shared" si="39"/>
        <v>1590849.3563162154</v>
      </c>
      <c r="E159" s="28">
        <f t="shared" si="40"/>
        <v>0</v>
      </c>
      <c r="G159" s="28">
        <f t="shared" si="41"/>
        <v>3948.3427026564423</v>
      </c>
      <c r="H159" s="28">
        <f t="shared" si="42"/>
        <v>0</v>
      </c>
      <c r="I159" s="28">
        <f t="shared" si="38"/>
        <v>3948.3427026564423</v>
      </c>
    </row>
    <row r="160" spans="2:9" x14ac:dyDescent="0.25">
      <c r="B160" s="26">
        <v>2039</v>
      </c>
      <c r="C160" s="40">
        <f t="shared" si="43"/>
        <v>2010825.466121912</v>
      </c>
      <c r="D160" s="28">
        <f t="shared" si="39"/>
        <v>1614968.5085409079</v>
      </c>
      <c r="E160" s="28">
        <f t="shared" si="40"/>
        <v>0</v>
      </c>
      <c r="G160" s="28">
        <f t="shared" si="41"/>
        <v>4003.2781791205857</v>
      </c>
      <c r="H160" s="28">
        <f t="shared" si="42"/>
        <v>0</v>
      </c>
      <c r="I160" s="28">
        <f t="shared" si="38"/>
        <v>4003.2781791205857</v>
      </c>
    </row>
    <row r="161" spans="2:18" x14ac:dyDescent="0.25">
      <c r="B161" s="26">
        <v>2040</v>
      </c>
      <c r="C161" s="40">
        <f t="shared" si="43"/>
        <v>2048450.7037320137</v>
      </c>
      <c r="D161" s="28">
        <f t="shared" si="39"/>
        <v>1638227.7463362436</v>
      </c>
      <c r="E161" s="28">
        <f t="shared" si="40"/>
        <v>0</v>
      </c>
      <c r="G161" s="28">
        <f t="shared" si="41"/>
        <v>4056.2550540362577</v>
      </c>
      <c r="H161" s="28">
        <f t="shared" si="42"/>
        <v>0</v>
      </c>
      <c r="I161" s="28">
        <f t="shared" si="38"/>
        <v>4056.2550540362577</v>
      </c>
    </row>
    <row r="162" spans="2:18" x14ac:dyDescent="0.25">
      <c r="B162" s="26">
        <v>2041</v>
      </c>
      <c r="C162" s="40">
        <f t="shared" si="43"/>
        <v>2085799.6540281773</v>
      </c>
      <c r="D162" s="28">
        <f t="shared" si="39"/>
        <v>1660637.1165139417</v>
      </c>
      <c r="E162" s="28">
        <f t="shared" si="40"/>
        <v>0</v>
      </c>
      <c r="G162" s="28">
        <f t="shared" si="41"/>
        <v>4107.2962107280291</v>
      </c>
      <c r="H162" s="28">
        <f t="shared" si="42"/>
        <v>0</v>
      </c>
      <c r="I162" s="28">
        <f t="shared" si="38"/>
        <v>4107.2962107280291</v>
      </c>
    </row>
    <row r="163" spans="2:18" x14ac:dyDescent="0.25">
      <c r="B163" s="26">
        <v>2042</v>
      </c>
      <c r="C163" s="40">
        <f t="shared" si="43"/>
        <v>2122872.3170102835</v>
      </c>
      <c r="D163" s="28">
        <f t="shared" si="39"/>
        <v>1682206.6658853488</v>
      </c>
      <c r="E163" s="28">
        <f t="shared" si="40"/>
        <v>0</v>
      </c>
      <c r="G163" s="28">
        <f t="shared" si="41"/>
        <v>4156.4245325196234</v>
      </c>
      <c r="H163" s="28">
        <f t="shared" si="42"/>
        <v>0</v>
      </c>
      <c r="I163" s="28">
        <f t="shared" si="38"/>
        <v>4156.4245325196234</v>
      </c>
    </row>
    <row r="164" spans="2:18" x14ac:dyDescent="0.25">
      <c r="B164" s="26">
        <v>2043</v>
      </c>
      <c r="C164" s="40">
        <f t="shared" si="43"/>
        <v>2159668.6926778555</v>
      </c>
      <c r="D164" s="28">
        <f t="shared" si="39"/>
        <v>1702946.4412616168</v>
      </c>
      <c r="E164" s="28">
        <f t="shared" si="40"/>
        <v>0</v>
      </c>
      <c r="G164" s="28">
        <f t="shared" si="41"/>
        <v>4203.6629027343179</v>
      </c>
      <c r="H164" s="28">
        <f t="shared" si="42"/>
        <v>0</v>
      </c>
      <c r="I164" s="28">
        <f t="shared" si="38"/>
        <v>4203.6629027343179</v>
      </c>
    </row>
    <row r="165" spans="2:18" x14ac:dyDescent="0.25">
      <c r="B165" s="26">
        <v>2044</v>
      </c>
      <c r="C165" s="40">
        <f t="shared" si="43"/>
        <v>2196188.7810314894</v>
      </c>
      <c r="D165" s="28">
        <f t="shared" si="39"/>
        <v>1722866.4894545081</v>
      </c>
      <c r="E165" s="28">
        <f t="shared" si="40"/>
        <v>0</v>
      </c>
      <c r="G165" s="28">
        <f t="shared" si="41"/>
        <v>4249.0342046967826</v>
      </c>
      <c r="H165" s="28">
        <f t="shared" si="42"/>
        <v>0</v>
      </c>
      <c r="I165" s="28">
        <f t="shared" si="38"/>
        <v>4249.0342046967826</v>
      </c>
    </row>
    <row r="166" spans="2:18" x14ac:dyDescent="0.25">
      <c r="B166" s="26">
        <v>2045</v>
      </c>
      <c r="C166" s="40">
        <f t="shared" si="43"/>
        <v>2232432.5820710659</v>
      </c>
      <c r="D166" s="28">
        <f t="shared" si="39"/>
        <v>1741976.8572753756</v>
      </c>
      <c r="E166" s="28">
        <f t="shared" si="40"/>
        <v>0</v>
      </c>
      <c r="G166" s="28">
        <f t="shared" si="41"/>
        <v>4292.5613217307555</v>
      </c>
      <c r="H166" s="28">
        <f t="shared" si="42"/>
        <v>0</v>
      </c>
      <c r="I166" s="28">
        <f t="shared" si="38"/>
        <v>4292.5613217307555</v>
      </c>
      <c r="N166" s="73" t="s">
        <v>38</v>
      </c>
      <c r="O166" s="74"/>
      <c r="P166" s="74"/>
      <c r="Q166" s="74"/>
      <c r="R166" s="75"/>
    </row>
    <row r="167" spans="2:18" x14ac:dyDescent="0.25">
      <c r="B167" s="26">
        <v>2046</v>
      </c>
      <c r="C167" s="40">
        <f t="shared" si="43"/>
        <v>2268400.0957963467</v>
      </c>
      <c r="D167" s="28">
        <f t="shared" si="39"/>
        <v>1760287.5915355186</v>
      </c>
      <c r="E167" s="28">
        <f t="shared" si="40"/>
        <v>0</v>
      </c>
      <c r="G167" s="28">
        <f t="shared" si="41"/>
        <v>4334.2671371598508</v>
      </c>
      <c r="H167" s="28">
        <f t="shared" si="42"/>
        <v>0</v>
      </c>
      <c r="I167" s="28">
        <f t="shared" si="38"/>
        <v>4334.2671371598508</v>
      </c>
      <c r="N167" s="38"/>
      <c r="O167" s="38"/>
      <c r="P167" s="38"/>
      <c r="Q167" s="38"/>
      <c r="R167" s="38"/>
    </row>
    <row r="168" spans="2:18" x14ac:dyDescent="0.25">
      <c r="B168" s="26">
        <v>2047</v>
      </c>
      <c r="C168" s="40">
        <f t="shared" si="43"/>
        <v>2304091.3222073317</v>
      </c>
      <c r="D168" s="28">
        <f t="shared" si="39"/>
        <v>1777808.7390463657</v>
      </c>
      <c r="E168" s="28">
        <f t="shared" si="40"/>
        <v>0</v>
      </c>
      <c r="G168" s="28">
        <f t="shared" si="41"/>
        <v>4374.1745343079783</v>
      </c>
      <c r="H168" s="28">
        <f t="shared" si="42"/>
        <v>0</v>
      </c>
      <c r="I168" s="28">
        <f t="shared" si="38"/>
        <v>4374.1745343079783</v>
      </c>
      <c r="N168" s="39">
        <f t="array" ref="N168:R172">LINEST(C135:C151,B135:B151^{1,2},1,1)</f>
        <v>-138.14365708631564</v>
      </c>
      <c r="O168" s="39">
        <v>601113.21486537647</v>
      </c>
      <c r="P168" s="39">
        <v>-649323864.29122472</v>
      </c>
      <c r="Q168" s="39" t="e">
        <v>#N/A</v>
      </c>
      <c r="R168" s="39" t="e">
        <v>#N/A</v>
      </c>
    </row>
    <row r="169" spans="2:18" x14ac:dyDescent="0.25">
      <c r="B169" s="26">
        <v>2048</v>
      </c>
      <c r="C169" s="40">
        <f t="shared" si="43"/>
        <v>2339506.2613042593</v>
      </c>
      <c r="D169" s="28">
        <f t="shared" si="39"/>
        <v>1794550.3466194589</v>
      </c>
      <c r="E169" s="28">
        <f t="shared" si="40"/>
        <v>0</v>
      </c>
      <c r="G169" s="28">
        <f t="shared" si="41"/>
        <v>4412.3063964993044</v>
      </c>
      <c r="H169" s="28">
        <f t="shared" si="42"/>
        <v>0</v>
      </c>
      <c r="I169" s="28">
        <f t="shared" si="38"/>
        <v>4412.3063964993044</v>
      </c>
      <c r="N169" s="39">
        <v>239.14143958870778</v>
      </c>
      <c r="O169" s="39">
        <v>967088.54347789567</v>
      </c>
      <c r="P169" s="39">
        <v>977722481.96855688</v>
      </c>
      <c r="Q169" s="39" t="e">
        <v>#N/A</v>
      </c>
      <c r="R169" s="39" t="e">
        <v>#N/A</v>
      </c>
    </row>
    <row r="170" spans="2:18" x14ac:dyDescent="0.25">
      <c r="B170" s="26">
        <v>2049</v>
      </c>
      <c r="C170" s="40">
        <f t="shared" si="43"/>
        <v>2374644.9130871296</v>
      </c>
      <c r="D170" s="28">
        <f t="shared" si="39"/>
        <v>1810522.4610662181</v>
      </c>
      <c r="E170" s="28">
        <f t="shared" si="40"/>
        <v>0</v>
      </c>
      <c r="G170" s="28">
        <f t="shared" si="41"/>
        <v>4448.6856070577196</v>
      </c>
      <c r="H170" s="28">
        <f t="shared" si="42"/>
        <v>0</v>
      </c>
      <c r="I170" s="28">
        <f t="shared" si="38"/>
        <v>4448.6856070577196</v>
      </c>
      <c r="N170" s="39">
        <v>0.99163453264370804</v>
      </c>
      <c r="O170" s="39">
        <v>21055.313943338719</v>
      </c>
      <c r="P170" s="39" t="e">
        <v>#N/A</v>
      </c>
      <c r="Q170" s="39" t="e">
        <v>#N/A</v>
      </c>
      <c r="R170" s="39" t="e">
        <v>#N/A</v>
      </c>
    </row>
    <row r="171" spans="2:18" x14ac:dyDescent="0.25">
      <c r="B171" s="26">
        <v>2050</v>
      </c>
      <c r="C171" s="40">
        <f t="shared" si="43"/>
        <v>2409507.2775554657</v>
      </c>
      <c r="D171" s="28">
        <f t="shared" si="39"/>
        <v>1825735.1291978557</v>
      </c>
      <c r="E171" s="28">
        <f t="shared" si="40"/>
        <v>0</v>
      </c>
      <c r="G171" s="28">
        <f t="shared" si="41"/>
        <v>4483.33504930664</v>
      </c>
      <c r="H171" s="28">
        <f t="shared" si="42"/>
        <v>0</v>
      </c>
      <c r="I171" s="28">
        <f t="shared" si="38"/>
        <v>4483.33504930664</v>
      </c>
      <c r="N171" s="39">
        <v>829.77333278158483</v>
      </c>
      <c r="O171" s="39">
        <v>14</v>
      </c>
      <c r="P171" s="39" t="e">
        <v>#N/A</v>
      </c>
      <c r="Q171" s="39" t="e">
        <v>#N/A</v>
      </c>
      <c r="R171" s="39" t="e">
        <v>#N/A</v>
      </c>
    </row>
    <row r="172" spans="2:18" x14ac:dyDescent="0.25">
      <c r="B172" t="s">
        <v>23</v>
      </c>
      <c r="C172" t="s">
        <v>24</v>
      </c>
      <c r="D172" s="28">
        <f t="shared" si="39"/>
        <v>0</v>
      </c>
      <c r="E172" t="s">
        <v>27</v>
      </c>
      <c r="N172" s="39">
        <v>735720592065.51575</v>
      </c>
      <c r="O172" s="39">
        <v>6206567433.5357542</v>
      </c>
      <c r="P172" s="39" t="e">
        <v>#N/A</v>
      </c>
      <c r="Q172" s="39" t="e">
        <v>#N/A</v>
      </c>
      <c r="R172" s="39" t="e">
        <v>#N/A</v>
      </c>
    </row>
    <row r="173" spans="2:18" ht="17.25" x14ac:dyDescent="0.25">
      <c r="N173" s="38" t="s">
        <v>41</v>
      </c>
      <c r="O173" s="39">
        <f t="array" ref="O173:O175">TRANSPOSE(N168:P168)</f>
        <v>-138.14365708631564</v>
      </c>
      <c r="P173" s="38"/>
      <c r="Q173" s="38"/>
      <c r="R173" s="38"/>
    </row>
    <row r="174" spans="2:18" x14ac:dyDescent="0.25">
      <c r="N174" s="38" t="s">
        <v>39</v>
      </c>
      <c r="O174" s="39">
        <v>601113.21486537647</v>
      </c>
      <c r="P174" s="38"/>
      <c r="Q174" s="38"/>
      <c r="R174" s="38"/>
    </row>
    <row r="175" spans="2:18" x14ac:dyDescent="0.25">
      <c r="N175" s="38" t="s">
        <v>40</v>
      </c>
      <c r="O175" s="39">
        <v>-649323864.29122472</v>
      </c>
      <c r="P175" s="38"/>
      <c r="Q175" s="38"/>
      <c r="R175" s="38"/>
    </row>
    <row r="178" spans="2:17" x14ac:dyDescent="0.25">
      <c r="N178" s="73" t="s">
        <v>51</v>
      </c>
      <c r="O178" s="74"/>
      <c r="P178" s="74"/>
      <c r="Q178" s="75"/>
    </row>
    <row r="179" spans="2:17" x14ac:dyDescent="0.25">
      <c r="N179" s="46">
        <v>-5.2572005665525562E-5</v>
      </c>
      <c r="O179" s="46">
        <v>0.21452890275684569</v>
      </c>
      <c r="P179" s="46">
        <v>-218.79254802690875</v>
      </c>
      <c r="Q179" s="69" t="s">
        <v>52</v>
      </c>
    </row>
    <row r="180" spans="2:17" x14ac:dyDescent="0.25">
      <c r="N180" s="39">
        <v>1.7064877257679867E-5</v>
      </c>
      <c r="O180" s="39">
        <v>6.8993343775134094E-2</v>
      </c>
      <c r="P180" s="39">
        <v>69.734699412297203</v>
      </c>
      <c r="Q180" s="70"/>
    </row>
    <row r="181" spans="2:17" x14ac:dyDescent="0.25">
      <c r="N181" s="39">
        <v>0.97712452195416344</v>
      </c>
      <c r="O181" s="39">
        <v>1.734919862769587E-3</v>
      </c>
      <c r="P181" s="39" t="e">
        <v>#N/A</v>
      </c>
      <c r="Q181" s="70"/>
    </row>
    <row r="182" spans="2:17" x14ac:dyDescent="0.25">
      <c r="N182" s="39">
        <v>320.36200074035276</v>
      </c>
      <c r="O182" s="39">
        <v>15</v>
      </c>
      <c r="P182" s="39" t="e">
        <v>#N/A</v>
      </c>
      <c r="Q182" s="70"/>
    </row>
    <row r="183" spans="2:17" x14ac:dyDescent="0.25">
      <c r="N183" s="39">
        <v>1.9285452413830967E-3</v>
      </c>
      <c r="O183" s="39">
        <v>4.5149203953486638E-5</v>
      </c>
      <c r="P183" s="39" t="e">
        <v>#N/A</v>
      </c>
      <c r="Q183" s="70"/>
    </row>
    <row r="184" spans="2:17" ht="17.25" x14ac:dyDescent="0.25">
      <c r="N184" s="38" t="s">
        <v>41</v>
      </c>
      <c r="O184" s="39">
        <v>-5.2572005665525562E-5</v>
      </c>
      <c r="P184" s="38"/>
      <c r="Q184" s="70"/>
    </row>
    <row r="185" spans="2:17" x14ac:dyDescent="0.25">
      <c r="N185" s="38" t="s">
        <v>39</v>
      </c>
      <c r="O185" s="39">
        <v>0.21452890275684569</v>
      </c>
      <c r="P185" s="38"/>
      <c r="Q185" s="70"/>
    </row>
    <row r="186" spans="2:17" x14ac:dyDescent="0.25">
      <c r="N186" s="38" t="s">
        <v>40</v>
      </c>
      <c r="O186" s="39">
        <v>-218.79254802690875</v>
      </c>
      <c r="P186" s="38"/>
      <c r="Q186" s="71"/>
    </row>
    <row r="187" spans="2:17" x14ac:dyDescent="0.25">
      <c r="N187" s="42" t="s">
        <v>42</v>
      </c>
      <c r="O187" s="37" t="s">
        <v>34</v>
      </c>
      <c r="P187" s="37" t="s">
        <v>35</v>
      </c>
      <c r="Q187" s="37" t="s">
        <v>43</v>
      </c>
    </row>
    <row r="192" spans="2:17" ht="24" x14ac:dyDescent="0.25">
      <c r="B192" s="9" t="s">
        <v>0</v>
      </c>
      <c r="C192" s="19" t="s">
        <v>65</v>
      </c>
    </row>
    <row r="193" spans="2:16" x14ac:dyDescent="0.25">
      <c r="B193" s="10">
        <v>2013</v>
      </c>
      <c r="C193" s="11">
        <v>4488.9048500498293</v>
      </c>
    </row>
    <row r="194" spans="2:16" x14ac:dyDescent="0.25">
      <c r="B194" s="10">
        <v>2014</v>
      </c>
      <c r="C194" s="11">
        <v>4409.1759291458902</v>
      </c>
    </row>
    <row r="195" spans="2:16" x14ac:dyDescent="0.25">
      <c r="B195" s="10">
        <v>2015</v>
      </c>
      <c r="C195" s="11">
        <v>4697.8044143992256</v>
      </c>
    </row>
    <row r="196" spans="2:16" x14ac:dyDescent="0.25">
      <c r="B196" s="10">
        <v>2016</v>
      </c>
      <c r="C196" s="11">
        <v>4861.015568828896</v>
      </c>
    </row>
    <row r="197" spans="2:16" x14ac:dyDescent="0.25">
      <c r="B197" s="10">
        <v>2017</v>
      </c>
      <c r="C197" s="11">
        <v>4774.6817019902828</v>
      </c>
    </row>
    <row r="198" spans="2:16" x14ac:dyDescent="0.25">
      <c r="B198" s="10">
        <v>2018</v>
      </c>
      <c r="C198" s="11">
        <v>4784.7519434793039</v>
      </c>
    </row>
    <row r="199" spans="2:16" x14ac:dyDescent="0.25">
      <c r="B199" s="10">
        <v>2019</v>
      </c>
      <c r="C199" s="11">
        <v>4809.2963508437269</v>
      </c>
    </row>
    <row r="200" spans="2:16" x14ac:dyDescent="0.25">
      <c r="B200" s="10">
        <v>2020</v>
      </c>
      <c r="C200" s="11">
        <v>4845.536453345142</v>
      </c>
    </row>
    <row r="201" spans="2:16" x14ac:dyDescent="0.25">
      <c r="B201" s="10">
        <v>2021</v>
      </c>
      <c r="C201" s="11">
        <v>4893.1151305214926</v>
      </c>
      <c r="N201" s="72" t="s">
        <v>64</v>
      </c>
      <c r="O201" s="72"/>
      <c r="P201" s="72"/>
    </row>
    <row r="202" spans="2:16" x14ac:dyDescent="0.25">
      <c r="B202" s="10">
        <v>2022</v>
      </c>
      <c r="C202" s="11">
        <v>4952.0423023853336</v>
      </c>
      <c r="N202" s="39">
        <f t="array" ref="N202:P206">LINEST(C197:C210,B197:B210^{1,2},1,1)</f>
        <v>5.650340769505303</v>
      </c>
      <c r="O202" s="39">
        <v>-22785.873341756665</v>
      </c>
      <c r="P202" s="39">
        <v>22976659.976669725</v>
      </c>
    </row>
    <row r="203" spans="2:16" x14ac:dyDescent="0.25">
      <c r="B203" s="10">
        <v>2023</v>
      </c>
      <c r="C203" s="11">
        <v>5022.1493287186813</v>
      </c>
      <c r="N203" s="39">
        <v>1.6232796451648292E-2</v>
      </c>
      <c r="O203" s="39">
        <v>65.694152910657564</v>
      </c>
      <c r="P203" s="39">
        <v>66465.873342586943</v>
      </c>
    </row>
    <row r="204" spans="2:16" x14ac:dyDescent="0.25">
      <c r="B204" s="10">
        <v>2024</v>
      </c>
      <c r="C204" s="11">
        <v>5103.1187691104178</v>
      </c>
      <c r="N204" s="46">
        <v>0.99999468365713307</v>
      </c>
      <c r="O204" s="46">
        <v>0.87596958738614972</v>
      </c>
      <c r="P204" s="38" t="e">
        <v>#N/A</v>
      </c>
    </row>
    <row r="205" spans="2:16" x14ac:dyDescent="0.25">
      <c r="B205" s="10">
        <v>2025</v>
      </c>
      <c r="C205" s="11">
        <v>5195.5160642926385</v>
      </c>
      <c r="N205" s="46">
        <v>1034540.2653073142</v>
      </c>
      <c r="O205" s="46">
        <v>11</v>
      </c>
      <c r="P205" s="38" t="e">
        <v>#N/A</v>
      </c>
    </row>
    <row r="206" spans="2:16" x14ac:dyDescent="0.25">
      <c r="B206" s="10">
        <v>2026</v>
      </c>
      <c r="C206" s="11">
        <v>5299.0832939312513</v>
      </c>
      <c r="N206" s="46">
        <v>1587652.4965647806</v>
      </c>
      <c r="O206" s="46">
        <v>8.4405498982800751</v>
      </c>
      <c r="P206" s="38" t="e">
        <v>#N/A</v>
      </c>
    </row>
    <row r="207" spans="2:16" ht="17.25" x14ac:dyDescent="0.25">
      <c r="B207" s="10">
        <v>2027</v>
      </c>
      <c r="C207" s="11">
        <v>5413.8700580907316</v>
      </c>
      <c r="N207" s="38" t="s">
        <v>41</v>
      </c>
      <c r="O207" s="46">
        <f t="array" ref="O207:O209">TRANSPOSE(N202:P202)</f>
        <v>5.650340769505303</v>
      </c>
      <c r="P207" s="38"/>
    </row>
    <row r="208" spans="2:16" x14ac:dyDescent="0.25">
      <c r="B208" s="10">
        <v>2028</v>
      </c>
      <c r="C208" s="11">
        <v>5539.9656368863471</v>
      </c>
      <c r="N208" s="38" t="s">
        <v>39</v>
      </c>
      <c r="O208" s="46">
        <v>-22785.873341756665</v>
      </c>
      <c r="P208" s="38"/>
    </row>
    <row r="209" spans="1:16" x14ac:dyDescent="0.25">
      <c r="B209" s="10">
        <v>2029</v>
      </c>
      <c r="C209" s="11">
        <v>5677.2013900999818</v>
      </c>
      <c r="N209" s="38" t="s">
        <v>40</v>
      </c>
      <c r="O209" s="46">
        <v>22976659.976669725</v>
      </c>
      <c r="P209" s="38"/>
    </row>
    <row r="210" spans="1:16" x14ac:dyDescent="0.25">
      <c r="B210" s="10">
        <v>2030</v>
      </c>
      <c r="C210" s="11">
        <v>5826.0534783480334</v>
      </c>
    </row>
    <row r="211" spans="1:16" x14ac:dyDescent="0.25">
      <c r="A211">
        <v>1</v>
      </c>
      <c r="B211" s="10">
        <v>2031</v>
      </c>
      <c r="C211" s="11">
        <f>$O$209+$O$208*B211+$O$207*B211^2</f>
        <v>5986.5304813012481</v>
      </c>
    </row>
    <row r="212" spans="1:16" x14ac:dyDescent="0.25">
      <c r="A212">
        <v>2</v>
      </c>
      <c r="B212" s="10">
        <v>2032</v>
      </c>
      <c r="C212" s="11">
        <f t="shared" ref="C212:C230" si="44">$O$209+$O$208*B212+$O$207*B212^2</f>
        <v>6157.9916860498488</v>
      </c>
    </row>
    <row r="213" spans="1:16" x14ac:dyDescent="0.25">
      <c r="A213">
        <v>3</v>
      </c>
      <c r="B213" s="10">
        <v>2033</v>
      </c>
      <c r="C213" s="11">
        <f t="shared" si="44"/>
        <v>6340.7535723261535</v>
      </c>
    </row>
    <row r="214" spans="1:16" x14ac:dyDescent="0.25">
      <c r="A214">
        <v>4</v>
      </c>
      <c r="B214" s="10">
        <v>2034</v>
      </c>
      <c r="C214" s="11">
        <f t="shared" si="44"/>
        <v>6534.8161401487887</v>
      </c>
    </row>
    <row r="215" spans="1:16" x14ac:dyDescent="0.25">
      <c r="A215">
        <v>5</v>
      </c>
      <c r="B215" s="10">
        <v>2035</v>
      </c>
      <c r="C215" s="11">
        <f t="shared" si="44"/>
        <v>6740.179389514029</v>
      </c>
    </row>
    <row r="216" spans="1:16" x14ac:dyDescent="0.25">
      <c r="A216">
        <v>6</v>
      </c>
      <c r="B216" s="10">
        <v>2036</v>
      </c>
      <c r="C216" s="11">
        <f t="shared" si="44"/>
        <v>6956.8433204069734</v>
      </c>
    </row>
    <row r="217" spans="1:16" x14ac:dyDescent="0.25">
      <c r="A217">
        <v>7</v>
      </c>
      <c r="B217" s="10">
        <v>2037</v>
      </c>
      <c r="C217" s="11">
        <f t="shared" si="44"/>
        <v>7184.8079328499734</v>
      </c>
    </row>
    <row r="218" spans="1:16" x14ac:dyDescent="0.25">
      <c r="A218">
        <v>8</v>
      </c>
      <c r="B218" s="10">
        <v>2038</v>
      </c>
      <c r="C218" s="11">
        <f t="shared" si="44"/>
        <v>7424.0732268206775</v>
      </c>
    </row>
    <row r="219" spans="1:16" x14ac:dyDescent="0.25">
      <c r="A219">
        <v>9</v>
      </c>
      <c r="B219" s="10">
        <v>2039</v>
      </c>
      <c r="C219" s="11">
        <f t="shared" si="44"/>
        <v>7674.6392023414373</v>
      </c>
    </row>
    <row r="220" spans="1:16" x14ac:dyDescent="0.25">
      <c r="A220">
        <v>10</v>
      </c>
      <c r="B220" s="10">
        <v>2040</v>
      </c>
      <c r="C220" s="11">
        <f t="shared" si="44"/>
        <v>7936.5058593973517</v>
      </c>
    </row>
    <row r="221" spans="1:16" x14ac:dyDescent="0.25">
      <c r="A221">
        <v>11</v>
      </c>
      <c r="B221" s="10">
        <v>2041</v>
      </c>
      <c r="C221" s="11">
        <f t="shared" si="44"/>
        <v>8209.6731979884207</v>
      </c>
    </row>
    <row r="222" spans="1:16" x14ac:dyDescent="0.25">
      <c r="A222">
        <v>12</v>
      </c>
      <c r="B222" s="10">
        <v>2042</v>
      </c>
      <c r="C222" s="11">
        <f t="shared" si="44"/>
        <v>8494.1412181220949</v>
      </c>
    </row>
    <row r="223" spans="1:16" x14ac:dyDescent="0.25">
      <c r="A223">
        <v>13</v>
      </c>
      <c r="B223" s="10">
        <v>2043</v>
      </c>
      <c r="C223" s="11">
        <f t="shared" si="44"/>
        <v>8789.9099197983742</v>
      </c>
    </row>
    <row r="224" spans="1:16" x14ac:dyDescent="0.25">
      <c r="A224">
        <v>14</v>
      </c>
      <c r="B224" s="10">
        <v>2044</v>
      </c>
      <c r="C224" s="11">
        <f t="shared" si="44"/>
        <v>9096.9793030060828</v>
      </c>
    </row>
    <row r="225" spans="1:3" x14ac:dyDescent="0.25">
      <c r="A225">
        <v>15</v>
      </c>
      <c r="B225" s="10">
        <v>2045</v>
      </c>
      <c r="C225" s="11">
        <f t="shared" si="44"/>
        <v>9415.3493677601218</v>
      </c>
    </row>
    <row r="226" spans="1:3" x14ac:dyDescent="0.25">
      <c r="A226">
        <v>16</v>
      </c>
      <c r="B226" s="10">
        <v>2046</v>
      </c>
      <c r="C226" s="11">
        <f t="shared" si="44"/>
        <v>9745.0201140493155</v>
      </c>
    </row>
    <row r="227" spans="1:3" x14ac:dyDescent="0.25">
      <c r="A227">
        <v>17</v>
      </c>
      <c r="B227" s="10">
        <v>2047</v>
      </c>
      <c r="C227" s="11">
        <f t="shared" si="44"/>
        <v>10085.991541873664</v>
      </c>
    </row>
    <row r="228" spans="1:3" x14ac:dyDescent="0.25">
      <c r="A228">
        <v>18</v>
      </c>
      <c r="B228" s="10">
        <v>2048</v>
      </c>
      <c r="C228" s="11">
        <f t="shared" si="44"/>
        <v>10438.263651244342</v>
      </c>
    </row>
    <row r="229" spans="1:3" x14ac:dyDescent="0.25">
      <c r="A229">
        <v>19</v>
      </c>
      <c r="B229" s="10">
        <v>2049</v>
      </c>
      <c r="C229" s="11">
        <f t="shared" si="44"/>
        <v>10801.836442153901</v>
      </c>
    </row>
    <row r="230" spans="1:3" x14ac:dyDescent="0.25">
      <c r="A230">
        <v>20</v>
      </c>
      <c r="B230" s="10">
        <v>2050</v>
      </c>
      <c r="C230" s="11">
        <f t="shared" si="44"/>
        <v>11176.709914594889</v>
      </c>
    </row>
  </sheetData>
  <mergeCells count="8">
    <mergeCell ref="Q179:Q186"/>
    <mergeCell ref="N201:P201"/>
    <mergeCell ref="E4:H4"/>
    <mergeCell ref="N38:O38"/>
    <mergeCell ref="E47:H47"/>
    <mergeCell ref="B90:K90"/>
    <mergeCell ref="N166:R166"/>
    <mergeCell ref="N178:Q178"/>
  </mergeCells>
  <pageMargins left="0.7" right="0.7" top="0.75" bottom="0.75" header="0.3" footer="0.3"/>
  <ignoredErrors>
    <ignoredError sqref="F53:F54" formulaRange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CB754-8D46-44B9-A570-E27A9F17910F}">
  <dimension ref="A2:T230"/>
  <sheetViews>
    <sheetView topLeftCell="I88" zoomScale="80" zoomScaleNormal="80" workbookViewId="0">
      <selection activeCell="AB131" sqref="AB131"/>
    </sheetView>
  </sheetViews>
  <sheetFormatPr baseColWidth="10" defaultRowHeight="15" x14ac:dyDescent="0.25"/>
  <cols>
    <col min="2" max="4" width="18.140625" customWidth="1"/>
    <col min="5" max="5" width="20.5703125" customWidth="1"/>
    <col min="6" max="6" width="23.5703125" customWidth="1"/>
    <col min="7" max="7" width="23.7109375" customWidth="1"/>
    <col min="8" max="8" width="23.28515625" customWidth="1"/>
    <col min="9" max="9" width="28" customWidth="1"/>
    <col min="10" max="10" width="23.7109375" customWidth="1"/>
    <col min="11" max="12" width="18.140625" customWidth="1"/>
    <col min="13" max="13" width="17" customWidth="1"/>
    <col min="14" max="18" width="18.140625" customWidth="1"/>
  </cols>
  <sheetData>
    <row r="2" spans="1:13" x14ac:dyDescent="0.25">
      <c r="D2">
        <v>1</v>
      </c>
    </row>
    <row r="3" spans="1:13" x14ac:dyDescent="0.25">
      <c r="I3" s="5"/>
      <c r="J3" s="13"/>
      <c r="K3" s="13"/>
      <c r="L3" s="13"/>
      <c r="M3" s="14"/>
    </row>
    <row r="4" spans="1:13" x14ac:dyDescent="0.25">
      <c r="B4" s="32"/>
      <c r="C4" s="33"/>
      <c r="D4" s="33"/>
      <c r="E4" s="68" t="s">
        <v>10</v>
      </c>
      <c r="F4" s="68"/>
      <c r="G4" s="68"/>
      <c r="H4" s="68"/>
      <c r="I4" s="34"/>
      <c r="J4" s="66">
        <v>0.6</v>
      </c>
      <c r="K4" s="13"/>
      <c r="L4" s="13"/>
      <c r="M4" s="14"/>
    </row>
    <row r="5" spans="1:13" ht="45" x14ac:dyDescent="0.25">
      <c r="B5" s="9" t="s">
        <v>0</v>
      </c>
      <c r="C5" s="9" t="s">
        <v>22</v>
      </c>
      <c r="D5" s="9" t="s">
        <v>44</v>
      </c>
      <c r="E5" s="9" t="s">
        <v>33</v>
      </c>
      <c r="F5" s="16" t="s">
        <v>36</v>
      </c>
      <c r="G5" s="16" t="s">
        <v>8</v>
      </c>
      <c r="H5" s="16" t="s">
        <v>9</v>
      </c>
      <c r="I5" s="9" t="s">
        <v>4</v>
      </c>
      <c r="J5" s="50" t="s">
        <v>53</v>
      </c>
      <c r="K5" s="7"/>
      <c r="L5" s="7"/>
      <c r="M5" s="14"/>
    </row>
    <row r="6" spans="1:13" x14ac:dyDescent="0.25">
      <c r="B6" s="10">
        <v>2013</v>
      </c>
      <c r="C6" s="11">
        <v>1073183.6651212492</v>
      </c>
      <c r="D6" s="11">
        <f t="shared" ref="D6:D23" si="0">D49*$D$2-E6</f>
        <v>28898</v>
      </c>
      <c r="E6" s="11"/>
      <c r="F6" s="17"/>
      <c r="G6" s="18"/>
      <c r="H6" s="18"/>
      <c r="I6" s="10"/>
      <c r="J6" s="38"/>
      <c r="K6" s="6"/>
      <c r="L6" s="6"/>
      <c r="M6" s="14"/>
    </row>
    <row r="7" spans="1:13" x14ac:dyDescent="0.25">
      <c r="B7" s="10">
        <v>2014</v>
      </c>
      <c r="C7" s="11">
        <v>976651.16433813574</v>
      </c>
      <c r="D7" s="11">
        <f t="shared" si="0"/>
        <v>28300</v>
      </c>
      <c r="E7" s="11"/>
      <c r="F7" s="17"/>
      <c r="G7" s="18"/>
      <c r="H7" s="18"/>
      <c r="I7" s="10"/>
      <c r="J7" s="38"/>
      <c r="K7" s="6"/>
      <c r="L7" s="6"/>
      <c r="M7" s="8"/>
    </row>
    <row r="8" spans="1:13" x14ac:dyDescent="0.25">
      <c r="B8" s="10">
        <v>2015</v>
      </c>
      <c r="C8" s="11">
        <v>1019571.4085290028</v>
      </c>
      <c r="D8" s="11">
        <f t="shared" si="0"/>
        <v>37202</v>
      </c>
      <c r="E8" s="11"/>
      <c r="F8" s="17"/>
      <c r="G8" s="18"/>
      <c r="H8" s="18"/>
      <c r="I8" s="10"/>
      <c r="J8" s="38"/>
      <c r="K8" s="6"/>
      <c r="L8" s="6"/>
      <c r="M8" s="8"/>
    </row>
    <row r="9" spans="1:13" x14ac:dyDescent="0.25">
      <c r="B9" s="10">
        <v>2016</v>
      </c>
      <c r="C9" s="11">
        <v>1117970.6924468274</v>
      </c>
      <c r="D9" s="11">
        <f t="shared" si="0"/>
        <v>48314</v>
      </c>
      <c r="E9" s="11"/>
      <c r="F9" s="17"/>
      <c r="G9" s="18"/>
      <c r="H9" s="18"/>
      <c r="I9" s="10"/>
      <c r="J9" s="38"/>
      <c r="K9" s="6"/>
      <c r="L9" s="6"/>
      <c r="M9" s="14"/>
    </row>
    <row r="10" spans="1:13" x14ac:dyDescent="0.25">
      <c r="B10" s="10">
        <v>2017</v>
      </c>
      <c r="C10" s="11">
        <v>1053030.9082251894</v>
      </c>
      <c r="D10" s="11">
        <f t="shared" si="0"/>
        <v>47353.142857141793</v>
      </c>
      <c r="E10" s="11"/>
      <c r="F10" s="17"/>
      <c r="G10" s="18"/>
      <c r="H10" s="18"/>
      <c r="I10" s="10"/>
      <c r="J10" s="38"/>
      <c r="K10" s="6"/>
      <c r="L10" s="6"/>
      <c r="M10" s="14"/>
    </row>
    <row r="11" spans="1:13" x14ac:dyDescent="0.25">
      <c r="A11" s="3" t="s">
        <v>3</v>
      </c>
      <c r="B11" s="10">
        <v>2018</v>
      </c>
      <c r="C11" s="11">
        <v>1166385.7116395417</v>
      </c>
      <c r="D11" s="11">
        <f t="shared" si="0"/>
        <v>51443.285714285448</v>
      </c>
      <c r="E11" s="11">
        <v>199</v>
      </c>
      <c r="F11" s="17">
        <f>D11+F10</f>
        <v>51443.285714285448</v>
      </c>
      <c r="G11" s="17">
        <f t="shared" ref="G11:G23" si="1">D11*K97/I11</f>
        <v>211.03084412307703</v>
      </c>
      <c r="H11" s="17">
        <f>H10+G11</f>
        <v>211.03084412307703</v>
      </c>
      <c r="I11" s="12">
        <v>14.6</v>
      </c>
      <c r="J11" s="38"/>
      <c r="K11" s="6"/>
      <c r="L11" s="6"/>
      <c r="M11" s="14"/>
    </row>
    <row r="12" spans="1:13" x14ac:dyDescent="0.25">
      <c r="B12" s="10">
        <v>2019</v>
      </c>
      <c r="C12" s="11">
        <v>1206991.5861911501</v>
      </c>
      <c r="D12" s="11">
        <f t="shared" si="0"/>
        <v>55651.428571427241</v>
      </c>
      <c r="E12" s="11">
        <v>280</v>
      </c>
      <c r="F12" s="17">
        <f>D12+F11</f>
        <v>107094.71428571269</v>
      </c>
      <c r="G12" s="17">
        <f t="shared" si="1"/>
        <v>221.45217371650477</v>
      </c>
      <c r="H12" s="17">
        <f t="shared" ref="H12:H43" si="2">H11+G12</f>
        <v>432.48301783958181</v>
      </c>
      <c r="I12" s="12">
        <v>14.6</v>
      </c>
      <c r="J12" s="48">
        <f>100*$J$4/(2030-2019)*(B12-2019)/100</f>
        <v>0</v>
      </c>
      <c r="K12" s="6"/>
      <c r="L12" s="6"/>
      <c r="M12" s="14"/>
    </row>
    <row r="13" spans="1:13" x14ac:dyDescent="0.25">
      <c r="B13" s="10">
        <v>2020</v>
      </c>
      <c r="C13" s="11">
        <v>1247784.1313553418</v>
      </c>
      <c r="D13" s="11">
        <f t="shared" si="0"/>
        <v>56935.812987012483</v>
      </c>
      <c r="E13" s="11">
        <f>J13*D56</f>
        <v>3284.7584415584124</v>
      </c>
      <c r="F13" s="17">
        <f>D13+F12</f>
        <v>164030.52727272519</v>
      </c>
      <c r="G13" s="17">
        <f t="shared" si="1"/>
        <v>220.26712331435866</v>
      </c>
      <c r="H13" s="17">
        <f t="shared" si="2"/>
        <v>652.75014115394049</v>
      </c>
      <c r="I13" s="12">
        <v>14.6</v>
      </c>
      <c r="J13" s="48">
        <f t="shared" ref="J13:J43" si="3">100*$J$4/(2030-2019)*(B13-2019)/100</f>
        <v>5.4545454545454543E-2</v>
      </c>
      <c r="K13" s="6"/>
      <c r="L13" s="6"/>
      <c r="M13" s="14"/>
    </row>
    <row r="14" spans="1:13" x14ac:dyDescent="0.25">
      <c r="B14" s="10">
        <v>2021</v>
      </c>
      <c r="C14" s="11">
        <v>1288748.2711188961</v>
      </c>
      <c r="D14" s="11">
        <f t="shared" si="0"/>
        <v>57472.290909091149</v>
      </c>
      <c r="E14" s="11">
        <f t="shared" ref="E14:E43" si="4">J14*D57</f>
        <v>7037.4233766234056</v>
      </c>
      <c r="F14" s="17">
        <f>D14+F13</f>
        <v>221502.81818181634</v>
      </c>
      <c r="G14" s="17">
        <f t="shared" si="1"/>
        <v>216.65670440957919</v>
      </c>
      <c r="H14" s="17">
        <f t="shared" si="2"/>
        <v>869.40684556351971</v>
      </c>
      <c r="I14" s="12">
        <v>14.6</v>
      </c>
      <c r="J14" s="48">
        <f t="shared" si="3"/>
        <v>0.10909090909090909</v>
      </c>
      <c r="K14" s="6"/>
      <c r="L14" s="6"/>
      <c r="M14" s="14"/>
    </row>
    <row r="15" spans="1:13" x14ac:dyDescent="0.25">
      <c r="B15" s="10">
        <v>2022</v>
      </c>
      <c r="C15" s="11">
        <v>1329857.3224403893</v>
      </c>
      <c r="D15" s="11">
        <f t="shared" si="0"/>
        <v>57540.862337661674</v>
      </c>
      <c r="E15" s="11">
        <f t="shared" si="4"/>
        <v>11257.994805194674</v>
      </c>
      <c r="F15" s="17">
        <f>D15+F14</f>
        <v>279043.68051947805</v>
      </c>
      <c r="G15" s="17">
        <f t="shared" si="1"/>
        <v>211.87994988805207</v>
      </c>
      <c r="H15" s="17">
        <f t="shared" si="2"/>
        <v>1081.2867954515718</v>
      </c>
      <c r="I15" s="12">
        <v>14.6</v>
      </c>
      <c r="J15" s="48">
        <f t="shared" si="3"/>
        <v>0.16363636363636364</v>
      </c>
      <c r="K15" s="6"/>
      <c r="L15" s="6"/>
      <c r="M15" s="14"/>
    </row>
    <row r="16" spans="1:13" x14ac:dyDescent="0.25">
      <c r="B16" s="10">
        <v>2023</v>
      </c>
      <c r="C16" s="11">
        <v>1371090.8945916586</v>
      </c>
      <c r="D16" s="11">
        <f t="shared" si="0"/>
        <v>57141.527272727275</v>
      </c>
      <c r="E16" s="11">
        <f t="shared" si="4"/>
        <v>15946.472727272727</v>
      </c>
      <c r="F16" s="17">
        <f t="shared" ref="F16:F22" si="5">D16+F15</f>
        <v>336185.20779220533</v>
      </c>
      <c r="G16" s="17">
        <f t="shared" si="1"/>
        <v>206.04504445155027</v>
      </c>
      <c r="H16" s="17">
        <f t="shared" si="2"/>
        <v>1287.331839903122</v>
      </c>
      <c r="I16" s="12">
        <v>14.6</v>
      </c>
      <c r="J16" s="48">
        <f t="shared" si="3"/>
        <v>0.21818181818181817</v>
      </c>
      <c r="K16" s="6"/>
      <c r="L16" s="6"/>
      <c r="M16" s="14"/>
    </row>
    <row r="17" spans="1:13" x14ac:dyDescent="0.25">
      <c r="B17" s="10">
        <v>2024</v>
      </c>
      <c r="C17" s="11">
        <v>1412434.5035978679</v>
      </c>
      <c r="D17" s="11">
        <f t="shared" si="0"/>
        <v>56274.285714284939</v>
      </c>
      <c r="E17" s="11">
        <f t="shared" si="4"/>
        <v>21102.85714285685</v>
      </c>
      <c r="F17" s="17">
        <f t="shared" si="5"/>
        <v>392459.49350649025</v>
      </c>
      <c r="G17" s="17">
        <f t="shared" si="1"/>
        <v>199.22620525685298</v>
      </c>
      <c r="H17" s="17">
        <f t="shared" si="2"/>
        <v>1486.5580451599751</v>
      </c>
      <c r="I17" s="12">
        <v>14.6</v>
      </c>
      <c r="J17" s="48">
        <f t="shared" si="3"/>
        <v>0.27272727272727271</v>
      </c>
      <c r="K17" s="6"/>
      <c r="L17" s="6"/>
      <c r="M17" s="14"/>
    </row>
    <row r="18" spans="1:13" x14ac:dyDescent="0.25">
      <c r="B18" s="10">
        <v>2025</v>
      </c>
      <c r="C18" s="11">
        <v>1453842.0175012546</v>
      </c>
      <c r="D18" s="11">
        <f t="shared" si="0"/>
        <v>54939.137662337482</v>
      </c>
      <c r="E18" s="11">
        <f t="shared" si="4"/>
        <v>26727.148051947966</v>
      </c>
      <c r="F18" s="17">
        <f t="shared" si="5"/>
        <v>447398.63116882776</v>
      </c>
      <c r="G18" s="17">
        <f t="shared" si="1"/>
        <v>191.52866555974944</v>
      </c>
      <c r="H18" s="17">
        <f t="shared" si="2"/>
        <v>1678.0867107197246</v>
      </c>
      <c r="I18" s="12">
        <v>14.6</v>
      </c>
      <c r="J18" s="48">
        <f>100*$J$4/(2030-2019)*(B18-2019)/100</f>
        <v>0.32727272727272727</v>
      </c>
      <c r="K18" s="6"/>
      <c r="L18" s="6"/>
      <c r="M18" s="14"/>
    </row>
    <row r="19" spans="1:13" x14ac:dyDescent="0.25">
      <c r="B19" s="10">
        <v>2026</v>
      </c>
      <c r="C19" s="11">
        <v>1495296.6218874408</v>
      </c>
      <c r="D19" s="11">
        <f t="shared" si="0"/>
        <v>53136.083116882299</v>
      </c>
      <c r="E19" s="11">
        <f t="shared" si="4"/>
        <v>32819.345454544942</v>
      </c>
      <c r="F19" s="17">
        <f t="shared" si="5"/>
        <v>500534.71428571007</v>
      </c>
      <c r="G19" s="17">
        <f t="shared" si="1"/>
        <v>182.98104109564363</v>
      </c>
      <c r="H19" s="17">
        <f t="shared" si="2"/>
        <v>1861.0677518153682</v>
      </c>
      <c r="I19" s="12">
        <v>14.6</v>
      </c>
      <c r="J19" s="48">
        <f t="shared" si="3"/>
        <v>0.38181818181818178</v>
      </c>
      <c r="K19" s="6"/>
      <c r="L19" s="6"/>
      <c r="M19" s="14"/>
    </row>
    <row r="20" spans="1:13" x14ac:dyDescent="0.25">
      <c r="B20" s="10">
        <v>2027</v>
      </c>
      <c r="C20" s="11">
        <v>1536770.45903657</v>
      </c>
      <c r="D20" s="11">
        <f t="shared" si="0"/>
        <v>50865.122077921777</v>
      </c>
      <c r="E20" s="11">
        <f t="shared" si="4"/>
        <v>39379.44935064912</v>
      </c>
      <c r="F20" s="17">
        <f t="shared" si="5"/>
        <v>551399.83636363188</v>
      </c>
      <c r="G20" s="17">
        <f t="shared" si="1"/>
        <v>173.6066654707526</v>
      </c>
      <c r="H20" s="17">
        <f t="shared" si="2"/>
        <v>2034.6744172861208</v>
      </c>
      <c r="I20" s="12">
        <v>14.6</v>
      </c>
      <c r="J20" s="48">
        <f t="shared" si="3"/>
        <v>0.43636363636363634</v>
      </c>
      <c r="K20" s="6"/>
      <c r="L20" s="6"/>
      <c r="M20" s="14"/>
    </row>
    <row r="21" spans="1:13" x14ac:dyDescent="0.25">
      <c r="B21" s="10">
        <v>2028</v>
      </c>
      <c r="C21" s="11">
        <v>1578233.9588539612</v>
      </c>
      <c r="D21" s="11">
        <f t="shared" si="0"/>
        <v>48126.254545454685</v>
      </c>
      <c r="E21" s="11">
        <f t="shared" si="4"/>
        <v>46407.459740259867</v>
      </c>
      <c r="F21" s="17">
        <f t="shared" si="5"/>
        <v>599526.09090908652</v>
      </c>
      <c r="G21" s="17">
        <f t="shared" si="1"/>
        <v>163.40437555695243</v>
      </c>
      <c r="H21" s="17">
        <f t="shared" si="2"/>
        <v>2198.0787928430732</v>
      </c>
      <c r="I21" s="12">
        <v>14.6</v>
      </c>
      <c r="J21" s="48">
        <f t="shared" si="3"/>
        <v>0.49090909090909085</v>
      </c>
      <c r="K21" s="6"/>
      <c r="L21" s="6"/>
      <c r="M21" s="14"/>
    </row>
    <row r="22" spans="1:13" x14ac:dyDescent="0.25">
      <c r="B22" s="10">
        <v>2029</v>
      </c>
      <c r="C22" s="11">
        <v>1619667.6062884759</v>
      </c>
      <c r="D22" s="11">
        <f t="shared" si="0"/>
        <v>44919.480519480159</v>
      </c>
      <c r="E22" s="11">
        <f t="shared" si="4"/>
        <v>53903.376623376185</v>
      </c>
      <c r="F22" s="17">
        <f t="shared" si="5"/>
        <v>644445.57142856671</v>
      </c>
      <c r="G22" s="17">
        <f t="shared" si="1"/>
        <v>152.3266155628487</v>
      </c>
      <c r="H22" s="17">
        <f t="shared" si="2"/>
        <v>2350.4054084059217</v>
      </c>
      <c r="I22" s="12">
        <v>14.6</v>
      </c>
      <c r="J22" s="48">
        <f t="shared" si="3"/>
        <v>0.54545454545454541</v>
      </c>
      <c r="K22" s="6"/>
      <c r="L22" s="6"/>
      <c r="M22" s="14"/>
    </row>
    <row r="23" spans="1:13" x14ac:dyDescent="0.25">
      <c r="B23" s="10">
        <v>2030</v>
      </c>
      <c r="C23" s="11">
        <v>1661026.0804002865</v>
      </c>
      <c r="D23" s="11">
        <f t="shared" si="0"/>
        <v>41244.800000000003</v>
      </c>
      <c r="E23" s="11">
        <f t="shared" si="4"/>
        <v>61867.199999999997</v>
      </c>
      <c r="F23" s="17">
        <f>D23+F22</f>
        <v>685690.37142856675</v>
      </c>
      <c r="G23" s="17">
        <f t="shared" si="1"/>
        <v>140.33326275958055</v>
      </c>
      <c r="H23" s="17">
        <f t="shared" si="2"/>
        <v>2490.7386711655022</v>
      </c>
      <c r="I23" s="12">
        <v>14.6</v>
      </c>
      <c r="J23" s="48">
        <f t="shared" si="3"/>
        <v>0.6</v>
      </c>
      <c r="K23" s="6"/>
      <c r="L23" s="6"/>
      <c r="M23" s="14"/>
    </row>
    <row r="24" spans="1:13" x14ac:dyDescent="0.25">
      <c r="A24">
        <v>1</v>
      </c>
      <c r="B24" s="10">
        <v>2031</v>
      </c>
      <c r="C24" s="43">
        <f>C152</f>
        <v>1699877.2219293118</v>
      </c>
      <c r="D24" s="11">
        <f t="shared" ref="D24:D43" si="6">D67*$D$2-E24</f>
        <v>37102.212987012696</v>
      </c>
      <c r="E24" s="11">
        <f t="shared" si="4"/>
        <v>70298.92987012933</v>
      </c>
      <c r="F24" s="17">
        <f t="shared" ref="F24:F43" si="7">D24+F23</f>
        <v>722792.58441557945</v>
      </c>
      <c r="G24" s="17">
        <f t="shared" ref="G24:G43" si="8">D24*K110/I24</f>
        <v>126.23832832425845</v>
      </c>
      <c r="H24" s="17">
        <f t="shared" si="2"/>
        <v>2616.9769994897606</v>
      </c>
      <c r="I24" s="12">
        <v>14.6</v>
      </c>
      <c r="J24" s="48">
        <f t="shared" si="3"/>
        <v>0.65454545454545454</v>
      </c>
      <c r="K24" s="6"/>
      <c r="L24" s="6"/>
    </row>
    <row r="25" spans="1:13" x14ac:dyDescent="0.25">
      <c r="A25">
        <v>2</v>
      </c>
      <c r="B25" s="10">
        <v>2032</v>
      </c>
      <c r="C25" s="43">
        <f t="shared" ref="C25:C43" si="9">C153</f>
        <v>1739712.7580529451</v>
      </c>
      <c r="D25" s="11">
        <f>D68*$D$2-E25</f>
        <v>32491.719480519401</v>
      </c>
      <c r="E25" s="11">
        <f t="shared" si="4"/>
        <v>79198.566233766047</v>
      </c>
      <c r="F25" s="17">
        <f t="shared" si="7"/>
        <v>755284.30389609886</v>
      </c>
      <c r="G25" s="17">
        <f t="shared" si="8"/>
        <v>110.55136665398575</v>
      </c>
      <c r="H25" s="17">
        <f t="shared" si="2"/>
        <v>2727.5283661437466</v>
      </c>
      <c r="I25" s="12">
        <v>14.6</v>
      </c>
      <c r="J25" s="48">
        <f t="shared" si="3"/>
        <v>0.70909090909090911</v>
      </c>
      <c r="K25" s="6"/>
      <c r="L25" s="6"/>
    </row>
    <row r="26" spans="1:13" x14ac:dyDescent="0.25">
      <c r="A26">
        <v>3</v>
      </c>
      <c r="B26" s="10">
        <v>2033</v>
      </c>
      <c r="C26" s="43">
        <f t="shared" si="9"/>
        <v>1779272.0068622828</v>
      </c>
      <c r="D26" s="11">
        <f>D69*$D$2-E26</f>
        <v>27413.319480519174</v>
      </c>
      <c r="E26" s="11">
        <f t="shared" si="4"/>
        <v>88566.109090908067</v>
      </c>
      <c r="F26" s="17">
        <f t="shared" si="7"/>
        <v>782697.62337661802</v>
      </c>
      <c r="G26" s="17">
        <f t="shared" si="8"/>
        <v>93.272377748759254</v>
      </c>
      <c r="H26" s="17">
        <f t="shared" si="2"/>
        <v>2820.800743892506</v>
      </c>
      <c r="I26" s="12">
        <v>14.6</v>
      </c>
      <c r="J26" s="48">
        <f t="shared" si="3"/>
        <v>0.76363636363636356</v>
      </c>
      <c r="K26" s="6"/>
      <c r="L26" s="6"/>
    </row>
    <row r="27" spans="1:13" x14ac:dyDescent="0.25">
      <c r="A27">
        <v>4</v>
      </c>
      <c r="B27" s="10">
        <v>2034</v>
      </c>
      <c r="C27" s="43">
        <f t="shared" si="9"/>
        <v>1818554.9683576822</v>
      </c>
      <c r="D27" s="11">
        <f t="shared" si="6"/>
        <v>21867.012987012902</v>
      </c>
      <c r="E27" s="11">
        <f t="shared" si="4"/>
        <v>98401.558441557994</v>
      </c>
      <c r="F27" s="17">
        <f t="shared" si="7"/>
        <v>804564.63636363088</v>
      </c>
      <c r="G27" s="17">
        <f t="shared" si="8"/>
        <v>74.401361608581979</v>
      </c>
      <c r="H27" s="17">
        <f t="shared" si="2"/>
        <v>2895.2021055010882</v>
      </c>
      <c r="I27" s="12">
        <v>14.6</v>
      </c>
      <c r="J27" s="48">
        <f t="shared" si="3"/>
        <v>0.81818181818181812</v>
      </c>
      <c r="K27" s="6"/>
      <c r="L27" s="6"/>
    </row>
    <row r="28" spans="1:13" x14ac:dyDescent="0.25">
      <c r="A28">
        <v>5</v>
      </c>
      <c r="B28" s="10">
        <v>2035</v>
      </c>
      <c r="C28" s="43">
        <f t="shared" si="9"/>
        <v>1857561.6425389051</v>
      </c>
      <c r="D28" s="11">
        <f t="shared" si="6"/>
        <v>15852.800000000032</v>
      </c>
      <c r="E28" s="11">
        <f t="shared" si="4"/>
        <v>108704.91428571452</v>
      </c>
      <c r="F28" s="17">
        <f t="shared" si="7"/>
        <v>820417.43636363093</v>
      </c>
      <c r="G28" s="17">
        <f t="shared" si="8"/>
        <v>53.938318233452051</v>
      </c>
      <c r="H28" s="17">
        <f t="shared" si="2"/>
        <v>2949.1404237345405</v>
      </c>
      <c r="I28" s="12">
        <v>14.6</v>
      </c>
      <c r="J28" s="48">
        <f t="shared" si="3"/>
        <v>0.87272727272727268</v>
      </c>
      <c r="K28" s="6"/>
      <c r="L28" s="6"/>
    </row>
    <row r="29" spans="1:13" x14ac:dyDescent="0.25">
      <c r="A29">
        <v>6</v>
      </c>
      <c r="B29" s="10">
        <v>2036</v>
      </c>
      <c r="C29" s="43">
        <f t="shared" si="9"/>
        <v>1896292.0294060707</v>
      </c>
      <c r="D29" s="11">
        <f t="shared" si="6"/>
        <v>9370.680519480462</v>
      </c>
      <c r="E29" s="11">
        <f t="shared" si="4"/>
        <v>119476.17662337588</v>
      </c>
      <c r="F29" s="17">
        <f t="shared" si="7"/>
        <v>829788.11688311142</v>
      </c>
      <c r="G29" s="17">
        <f t="shared" si="8"/>
        <v>31.883247623369112</v>
      </c>
      <c r="H29" s="17">
        <f t="shared" si="2"/>
        <v>2981.0236713579097</v>
      </c>
      <c r="I29" s="12">
        <v>14.6</v>
      </c>
      <c r="J29" s="48">
        <f t="shared" si="3"/>
        <v>0.92727272727272725</v>
      </c>
      <c r="K29" s="6"/>
      <c r="L29" s="6"/>
    </row>
    <row r="30" spans="1:13" x14ac:dyDescent="0.25">
      <c r="A30">
        <v>7</v>
      </c>
      <c r="B30" s="10">
        <v>2037</v>
      </c>
      <c r="C30" s="43">
        <f t="shared" si="9"/>
        <v>1934746.1289587021</v>
      </c>
      <c r="D30" s="11">
        <f t="shared" si="6"/>
        <v>2420.6545454545558</v>
      </c>
      <c r="E30" s="11">
        <f t="shared" si="4"/>
        <v>130715.34545454544</v>
      </c>
      <c r="F30" s="17">
        <f t="shared" si="7"/>
        <v>832208.77142856596</v>
      </c>
      <c r="G30" s="17">
        <f t="shared" si="8"/>
        <v>8.2361497783344131</v>
      </c>
      <c r="H30" s="17">
        <f t="shared" si="2"/>
        <v>2989.2598211362442</v>
      </c>
      <c r="I30" s="12">
        <v>14.6</v>
      </c>
      <c r="J30" s="48">
        <f t="shared" si="3"/>
        <v>0.9818181818181817</v>
      </c>
      <c r="K30" s="6"/>
      <c r="L30" s="6"/>
    </row>
    <row r="31" spans="1:13" x14ac:dyDescent="0.25">
      <c r="A31">
        <v>8</v>
      </c>
      <c r="B31" s="10">
        <v>2038</v>
      </c>
      <c r="C31" s="43">
        <f t="shared" si="9"/>
        <v>1972923.9411973953</v>
      </c>
      <c r="D31" s="11">
        <f t="shared" si="6"/>
        <v>-4550.5848747108103</v>
      </c>
      <c r="E31" s="11">
        <f t="shared" si="4"/>
        <v>129691.66892925887</v>
      </c>
      <c r="F31" s="17">
        <f t="shared" si="7"/>
        <v>827658.18655385519</v>
      </c>
      <c r="G31" s="17">
        <f t="shared" si="8"/>
        <v>-15.483125701483946</v>
      </c>
      <c r="H31" s="17">
        <f t="shared" si="2"/>
        <v>2973.7766954347603</v>
      </c>
      <c r="I31" s="12">
        <v>14.6</v>
      </c>
      <c r="J31" s="48">
        <f t="shared" si="3"/>
        <v>1.0363636363636362</v>
      </c>
      <c r="K31" s="6"/>
      <c r="L31" s="6"/>
    </row>
    <row r="32" spans="1:13" x14ac:dyDescent="0.25">
      <c r="A32">
        <v>9</v>
      </c>
      <c r="B32" s="10">
        <v>2039</v>
      </c>
      <c r="C32" s="43">
        <f t="shared" si="9"/>
        <v>2010825.466121912</v>
      </c>
      <c r="D32" s="11">
        <f t="shared" si="6"/>
        <v>-3445.593174956055</v>
      </c>
      <c r="E32" s="11">
        <f t="shared" si="4"/>
        <v>41347.118099472733</v>
      </c>
      <c r="F32" s="17">
        <f t="shared" si="7"/>
        <v>824212.59337889915</v>
      </c>
      <c r="G32" s="17">
        <f t="shared" si="8"/>
        <v>-11.723449559307488</v>
      </c>
      <c r="H32" s="17">
        <f t="shared" si="2"/>
        <v>2962.0532458754528</v>
      </c>
      <c r="I32" s="12">
        <v>14.6</v>
      </c>
      <c r="J32" s="48">
        <f t="shared" si="3"/>
        <v>1.0909090909090908</v>
      </c>
      <c r="K32" s="6"/>
      <c r="L32" s="6"/>
    </row>
    <row r="33" spans="1:18" x14ac:dyDescent="0.25">
      <c r="A33">
        <v>10</v>
      </c>
      <c r="B33" s="10">
        <v>2040</v>
      </c>
      <c r="C33" s="43">
        <f t="shared" si="9"/>
        <v>2048450.7037320137</v>
      </c>
      <c r="D33" s="11">
        <f t="shared" si="6"/>
        <v>-5472.7618341966008</v>
      </c>
      <c r="E33" s="11">
        <f t="shared" si="4"/>
        <v>43097.999444298301</v>
      </c>
      <c r="F33" s="17">
        <f t="shared" si="7"/>
        <v>818739.83154470252</v>
      </c>
      <c r="G33" s="17">
        <f t="shared" si="8"/>
        <v>-18.620784304904266</v>
      </c>
      <c r="H33" s="17">
        <f t="shared" si="2"/>
        <v>2943.4324615705486</v>
      </c>
      <c r="I33" s="12">
        <v>14.6</v>
      </c>
      <c r="J33" s="48">
        <f t="shared" si="3"/>
        <v>1.1454545454545453</v>
      </c>
      <c r="K33" s="6"/>
      <c r="L33" s="6"/>
    </row>
    <row r="34" spans="1:18" x14ac:dyDescent="0.25">
      <c r="A34">
        <v>11</v>
      </c>
      <c r="B34" s="10">
        <v>2041</v>
      </c>
      <c r="C34" s="43">
        <f t="shared" si="9"/>
        <v>2085799.6540281773</v>
      </c>
      <c r="D34" s="11">
        <f t="shared" si="6"/>
        <v>-7469.7900592327132</v>
      </c>
      <c r="E34" s="11">
        <f t="shared" si="4"/>
        <v>44818.740355396272</v>
      </c>
      <c r="F34" s="17">
        <f t="shared" si="7"/>
        <v>811270.04148546979</v>
      </c>
      <c r="G34" s="17">
        <f t="shared" si="8"/>
        <v>-25.415567808334799</v>
      </c>
      <c r="H34" s="17">
        <f t="shared" si="2"/>
        <v>2918.0168937622138</v>
      </c>
      <c r="I34" s="12">
        <v>14.6</v>
      </c>
      <c r="J34" s="48">
        <f t="shared" si="3"/>
        <v>1.2</v>
      </c>
      <c r="K34" s="6"/>
      <c r="L34" s="6"/>
    </row>
    <row r="35" spans="1:18" x14ac:dyDescent="0.25">
      <c r="A35">
        <v>12</v>
      </c>
      <c r="B35" s="10">
        <v>2042</v>
      </c>
      <c r="C35" s="43">
        <f t="shared" si="9"/>
        <v>2122872.3170102835</v>
      </c>
      <c r="D35" s="11">
        <f t="shared" si="6"/>
        <v>-9436.677849990665</v>
      </c>
      <c r="E35" s="11">
        <f t="shared" si="4"/>
        <v>46509.340832096874</v>
      </c>
      <c r="F35" s="17">
        <f t="shared" si="7"/>
        <v>801833.36363547912</v>
      </c>
      <c r="G35" s="17">
        <f t="shared" si="8"/>
        <v>-32.107800069348222</v>
      </c>
      <c r="H35" s="17">
        <f t="shared" si="2"/>
        <v>2885.9090936928656</v>
      </c>
      <c r="I35" s="12">
        <v>14.6</v>
      </c>
      <c r="J35" s="48">
        <f t="shared" si="3"/>
        <v>1.2545454545454544</v>
      </c>
      <c r="K35" s="6"/>
      <c r="L35" s="6"/>
    </row>
    <row r="36" spans="1:18" x14ac:dyDescent="0.25">
      <c r="A36">
        <v>13</v>
      </c>
      <c r="B36" s="10">
        <v>2043</v>
      </c>
      <c r="C36" s="43">
        <f t="shared" si="9"/>
        <v>2159668.6926778555</v>
      </c>
      <c r="D36" s="11">
        <f t="shared" si="6"/>
        <v>-11373.425206340442</v>
      </c>
      <c r="E36" s="11">
        <f t="shared" si="4"/>
        <v>48169.800873912463</v>
      </c>
      <c r="F36" s="17">
        <f t="shared" si="7"/>
        <v>790459.93842913862</v>
      </c>
      <c r="G36" s="17">
        <f t="shared" si="8"/>
        <v>-38.697481087502183</v>
      </c>
      <c r="H36" s="17">
        <f t="shared" si="2"/>
        <v>2847.2116126053634</v>
      </c>
      <c r="I36" s="12">
        <v>14.6</v>
      </c>
      <c r="J36" s="48">
        <f t="shared" si="3"/>
        <v>1.3090909090909091</v>
      </c>
      <c r="K36" s="6"/>
      <c r="L36" s="6"/>
    </row>
    <row r="37" spans="1:18" x14ac:dyDescent="0.25">
      <c r="A37">
        <v>14</v>
      </c>
      <c r="B37" s="10">
        <v>2044</v>
      </c>
      <c r="C37" s="43">
        <f t="shared" si="9"/>
        <v>2196188.7810314894</v>
      </c>
      <c r="D37" s="11">
        <f t="shared" si="6"/>
        <v>-13280.032128594132</v>
      </c>
      <c r="E37" s="11">
        <f t="shared" si="4"/>
        <v>49800.120482228012</v>
      </c>
      <c r="F37" s="17">
        <f t="shared" si="7"/>
        <v>777179.90630054451</v>
      </c>
      <c r="G37" s="17">
        <f t="shared" si="8"/>
        <v>-45.184610863858524</v>
      </c>
      <c r="H37" s="17">
        <f t="shared" si="2"/>
        <v>2802.027001741505</v>
      </c>
      <c r="I37" s="12">
        <v>14.6</v>
      </c>
      <c r="J37" s="48">
        <f t="shared" si="3"/>
        <v>1.3636363636363635</v>
      </c>
      <c r="K37" s="6"/>
      <c r="L37" s="6"/>
    </row>
    <row r="38" spans="1:18" x14ac:dyDescent="0.25">
      <c r="A38">
        <v>15</v>
      </c>
      <c r="B38" s="10">
        <v>2045</v>
      </c>
      <c r="C38" s="43">
        <f t="shared" si="9"/>
        <v>2232432.5820710659</v>
      </c>
      <c r="D38" s="11">
        <f t="shared" si="6"/>
        <v>-15156.498616550183</v>
      </c>
      <c r="E38" s="11">
        <f t="shared" si="4"/>
        <v>51400.299656126714</v>
      </c>
      <c r="F38" s="17">
        <f t="shared" si="7"/>
        <v>762023.40768399427</v>
      </c>
      <c r="G38" s="17">
        <f t="shared" si="8"/>
        <v>-51.569189397731492</v>
      </c>
      <c r="H38" s="17">
        <f t="shared" si="2"/>
        <v>2750.4578123437736</v>
      </c>
      <c r="I38" s="12">
        <v>14.6</v>
      </c>
      <c r="J38" s="48">
        <f t="shared" si="3"/>
        <v>1.4181818181818182</v>
      </c>
      <c r="K38" s="6"/>
      <c r="L38" s="6"/>
      <c r="N38" s="76" t="s">
        <v>45</v>
      </c>
      <c r="O38" s="76"/>
    </row>
    <row r="39" spans="1:18" x14ac:dyDescent="0.25">
      <c r="A39">
        <v>16</v>
      </c>
      <c r="B39" s="10">
        <v>2046</v>
      </c>
      <c r="C39" s="43">
        <f t="shared" si="9"/>
        <v>2268400.0957963467</v>
      </c>
      <c r="D39" s="11">
        <f t="shared" si="6"/>
        <v>-17002.824670132715</v>
      </c>
      <c r="E39" s="11">
        <f t="shared" si="4"/>
        <v>52970.338395413477</v>
      </c>
      <c r="F39" s="17">
        <f t="shared" si="7"/>
        <v>745020.58301386156</v>
      </c>
      <c r="G39" s="17">
        <f t="shared" si="8"/>
        <v>-57.851216688862905</v>
      </c>
      <c r="H39" s="17">
        <f t="shared" si="2"/>
        <v>2692.606595654911</v>
      </c>
      <c r="I39" s="12">
        <v>14.6</v>
      </c>
      <c r="J39" s="48">
        <f t="shared" si="3"/>
        <v>1.4727272727272724</v>
      </c>
      <c r="K39" s="6"/>
      <c r="L39" s="6"/>
      <c r="N39" s="38" t="s">
        <v>46</v>
      </c>
      <c r="O39" s="38">
        <v>4289.1428571428569</v>
      </c>
    </row>
    <row r="40" spans="1:18" x14ac:dyDescent="0.25">
      <c r="A40">
        <v>17</v>
      </c>
      <c r="B40" s="10">
        <v>2047</v>
      </c>
      <c r="C40" s="43">
        <f t="shared" si="9"/>
        <v>2304091.3222073317</v>
      </c>
      <c r="D40" s="11">
        <f t="shared" si="6"/>
        <v>-18819.010289428443</v>
      </c>
      <c r="E40" s="11">
        <f t="shared" si="4"/>
        <v>54510.236700413436</v>
      </c>
      <c r="F40" s="17">
        <f t="shared" si="7"/>
        <v>726201.57272443315</v>
      </c>
      <c r="G40" s="17">
        <f t="shared" si="8"/>
        <v>-64.03069273754781</v>
      </c>
      <c r="H40" s="17">
        <f t="shared" si="2"/>
        <v>2628.5759029173632</v>
      </c>
      <c r="I40" s="12">
        <v>14.6</v>
      </c>
      <c r="J40" s="48">
        <f t="shared" si="3"/>
        <v>1.5272727272727271</v>
      </c>
      <c r="K40" s="6"/>
      <c r="L40" s="6"/>
      <c r="N40" s="38" t="s">
        <v>47</v>
      </c>
      <c r="O40" s="38">
        <v>-8603848</v>
      </c>
    </row>
    <row r="41" spans="1:18" x14ac:dyDescent="0.25">
      <c r="A41">
        <v>18</v>
      </c>
      <c r="B41" s="10">
        <v>2048</v>
      </c>
      <c r="C41" s="43">
        <f t="shared" si="9"/>
        <v>2339506.2613042593</v>
      </c>
      <c r="D41" s="11">
        <f t="shared" si="6"/>
        <v>-20605.055474576075</v>
      </c>
      <c r="E41" s="11">
        <f t="shared" si="4"/>
        <v>56019.994571503717</v>
      </c>
      <c r="F41" s="17">
        <f t="shared" si="7"/>
        <v>705596.51724985708</v>
      </c>
      <c r="G41" s="17">
        <f t="shared" si="8"/>
        <v>-70.107617544258133</v>
      </c>
      <c r="H41" s="17">
        <f t="shared" si="2"/>
        <v>2558.4682853731051</v>
      </c>
      <c r="I41" s="12">
        <v>14.6</v>
      </c>
      <c r="J41" s="48">
        <f t="shared" si="3"/>
        <v>1.5818181818181816</v>
      </c>
      <c r="K41" s="6"/>
      <c r="L41" s="6"/>
      <c r="N41" s="38" t="s">
        <v>48</v>
      </c>
      <c r="O41" s="38">
        <v>0.87207427576387386</v>
      </c>
    </row>
    <row r="42" spans="1:18" x14ac:dyDescent="0.25">
      <c r="A42">
        <v>19</v>
      </c>
      <c r="B42" s="10">
        <v>2049</v>
      </c>
      <c r="C42" s="43">
        <f t="shared" si="9"/>
        <v>2374644.9130871296</v>
      </c>
      <c r="D42" s="11">
        <f t="shared" si="6"/>
        <v>-22360.960225462906</v>
      </c>
      <c r="E42" s="11">
        <f t="shared" si="4"/>
        <v>57499.612008333199</v>
      </c>
      <c r="F42" s="17">
        <f t="shared" si="7"/>
        <v>683235.55702439416</v>
      </c>
      <c r="G42" s="17">
        <f t="shared" si="8"/>
        <v>-76.081991108610438</v>
      </c>
      <c r="H42" s="17">
        <f t="shared" si="2"/>
        <v>2482.3862942644946</v>
      </c>
      <c r="I42" s="12">
        <v>14.6</v>
      </c>
      <c r="J42" s="48">
        <f t="shared" si="3"/>
        <v>1.6363636363636362</v>
      </c>
      <c r="K42" s="6"/>
      <c r="L42" s="6"/>
      <c r="N42" s="45" t="s">
        <v>49</v>
      </c>
      <c r="O42" s="37" t="s">
        <v>50</v>
      </c>
    </row>
    <row r="43" spans="1:18" x14ac:dyDescent="0.25">
      <c r="A43">
        <v>20</v>
      </c>
      <c r="B43" s="10">
        <v>2050</v>
      </c>
      <c r="C43" s="43">
        <f t="shared" si="9"/>
        <v>2409507.2775554657</v>
      </c>
      <c r="D43" s="11">
        <f t="shared" si="6"/>
        <v>-24086.724541759482</v>
      </c>
      <c r="E43" s="11">
        <f t="shared" si="4"/>
        <v>58949.089010095588</v>
      </c>
      <c r="F43" s="17">
        <f t="shared" si="7"/>
        <v>659148.83248263469</v>
      </c>
      <c r="G43" s="17">
        <f t="shared" si="8"/>
        <v>-81.953813429483745</v>
      </c>
      <c r="H43" s="17">
        <f t="shared" si="2"/>
        <v>2400.4324808350107</v>
      </c>
      <c r="I43" s="12">
        <v>14.6</v>
      </c>
      <c r="J43" s="48">
        <f t="shared" si="3"/>
        <v>1.6909090909090907</v>
      </c>
      <c r="K43" s="6"/>
      <c r="L43" s="6"/>
    </row>
    <row r="44" spans="1:18" x14ac:dyDescent="0.25">
      <c r="B44" t="s">
        <v>23</v>
      </c>
      <c r="C44" t="s">
        <v>24</v>
      </c>
      <c r="D44" t="s">
        <v>25</v>
      </c>
      <c r="E44" t="s">
        <v>27</v>
      </c>
      <c r="F44" s="5"/>
      <c r="J44" s="5"/>
      <c r="K44" s="6"/>
      <c r="L44" s="6"/>
    </row>
    <row r="45" spans="1:18" x14ac:dyDescent="0.25">
      <c r="B45" t="s">
        <v>32</v>
      </c>
      <c r="F45" s="5"/>
      <c r="J45" s="5"/>
      <c r="K45" s="6"/>
      <c r="L45" s="6"/>
    </row>
    <row r="46" spans="1:18" x14ac:dyDescent="0.25">
      <c r="F46" s="5"/>
      <c r="I46" s="5"/>
      <c r="J46" s="5"/>
      <c r="K46" s="5"/>
      <c r="L46" s="5"/>
    </row>
    <row r="47" spans="1:18" x14ac:dyDescent="0.25">
      <c r="B47" s="32"/>
      <c r="C47" s="33"/>
      <c r="D47" s="33"/>
      <c r="E47" s="68" t="s">
        <v>11</v>
      </c>
      <c r="F47" s="68"/>
      <c r="G47" s="68"/>
      <c r="H47" s="68"/>
      <c r="I47" s="34"/>
      <c r="J47" s="5"/>
      <c r="K47" s="5"/>
      <c r="L47" s="5"/>
    </row>
    <row r="48" spans="1:18" ht="45" x14ac:dyDescent="0.25">
      <c r="B48" s="9" t="s">
        <v>0</v>
      </c>
      <c r="C48" s="9" t="s">
        <v>22</v>
      </c>
      <c r="D48" s="9" t="s">
        <v>61</v>
      </c>
      <c r="E48" s="16" t="s">
        <v>55</v>
      </c>
      <c r="F48" s="16" t="s">
        <v>6</v>
      </c>
      <c r="G48" s="16" t="s">
        <v>7</v>
      </c>
      <c r="H48" s="16"/>
      <c r="I48" s="9" t="s">
        <v>4</v>
      </c>
      <c r="J48" s="63" t="s">
        <v>53</v>
      </c>
      <c r="K48" s="49" t="s">
        <v>33</v>
      </c>
      <c r="L48" s="50" t="s">
        <v>63</v>
      </c>
      <c r="N48" s="9" t="s">
        <v>54</v>
      </c>
      <c r="O48" s="16" t="s">
        <v>57</v>
      </c>
      <c r="P48" s="57" t="s">
        <v>58</v>
      </c>
      <c r="Q48" s="16" t="s">
        <v>59</v>
      </c>
      <c r="R48" s="54" t="s">
        <v>60</v>
      </c>
    </row>
    <row r="49" spans="1:20" x14ac:dyDescent="0.25">
      <c r="B49" s="10">
        <v>2013</v>
      </c>
      <c r="C49" s="11">
        <v>1073183.6651212492</v>
      </c>
      <c r="D49" s="29">
        <v>28898</v>
      </c>
      <c r="E49" s="17"/>
      <c r="F49" s="17">
        <f>C6-F6-SUM($E$6:E6)</f>
        <v>1073183.6651212492</v>
      </c>
      <c r="G49" s="17">
        <f t="shared" ref="G49:G66" si="10">F49*K92/I49</f>
        <v>4488.9048500498293</v>
      </c>
      <c r="H49" s="17"/>
      <c r="I49" s="12">
        <v>14.6</v>
      </c>
      <c r="J49" s="64"/>
      <c r="K49" s="38"/>
      <c r="L49" s="38"/>
      <c r="N49" s="29">
        <v>28898</v>
      </c>
      <c r="O49" s="18"/>
      <c r="P49" s="58">
        <v>0</v>
      </c>
      <c r="Q49" s="18">
        <f>P49*C49+(1-P49)*O49</f>
        <v>0</v>
      </c>
      <c r="R49" s="55">
        <v>0</v>
      </c>
    </row>
    <row r="50" spans="1:20" x14ac:dyDescent="0.25">
      <c r="B50" s="10">
        <v>2014</v>
      </c>
      <c r="C50" s="11">
        <v>976651.16433813574</v>
      </c>
      <c r="D50" s="29">
        <v>28300</v>
      </c>
      <c r="E50" s="17"/>
      <c r="F50" s="17">
        <f>C7-F7-SUM($E$6:E7)</f>
        <v>976651.16433813574</v>
      </c>
      <c r="G50" s="17">
        <f t="shared" si="10"/>
        <v>4409.1759291458893</v>
      </c>
      <c r="H50" s="17"/>
      <c r="I50" s="12">
        <v>14.6</v>
      </c>
      <c r="J50" s="64"/>
      <c r="K50" s="38"/>
      <c r="L50" s="38"/>
      <c r="N50" s="29">
        <v>28300</v>
      </c>
      <c r="O50" s="18"/>
      <c r="P50" s="58">
        <v>0</v>
      </c>
      <c r="Q50" s="18">
        <f t="shared" ref="Q50:Q86" si="11">P50*C50+(1-P50)*O50</f>
        <v>0</v>
      </c>
      <c r="R50" s="4">
        <f t="shared" ref="R50:R52" si="12">Q50-Q49</f>
        <v>0</v>
      </c>
    </row>
    <row r="51" spans="1:20" x14ac:dyDescent="0.25">
      <c r="B51" s="10">
        <v>2015</v>
      </c>
      <c r="C51" s="11">
        <v>1019571.4085290028</v>
      </c>
      <c r="D51" s="29">
        <v>37202</v>
      </c>
      <c r="E51" s="17"/>
      <c r="F51" s="17">
        <f>C8-F8-SUM($E$6:E8)</f>
        <v>1019571.4085290028</v>
      </c>
      <c r="G51" s="17">
        <f t="shared" si="10"/>
        <v>4697.8044143992256</v>
      </c>
      <c r="H51" s="17"/>
      <c r="I51" s="12">
        <v>14.6</v>
      </c>
      <c r="J51" s="64"/>
      <c r="K51" s="38"/>
      <c r="L51" s="38"/>
      <c r="N51" s="29">
        <v>37202</v>
      </c>
      <c r="O51" s="18"/>
      <c r="P51" s="58">
        <v>0</v>
      </c>
      <c r="Q51" s="18">
        <f t="shared" si="11"/>
        <v>0</v>
      </c>
      <c r="R51" s="4">
        <f t="shared" si="12"/>
        <v>0</v>
      </c>
    </row>
    <row r="52" spans="1:20" x14ac:dyDescent="0.25">
      <c r="B52" s="10">
        <v>2016</v>
      </c>
      <c r="C52" s="11">
        <v>1117970.6924468274</v>
      </c>
      <c r="D52" s="29">
        <v>48314</v>
      </c>
      <c r="E52" s="17"/>
      <c r="F52" s="17">
        <f>C9-F9-SUM($E$6:E9)</f>
        <v>1117970.6924468274</v>
      </c>
      <c r="G52" s="17">
        <f t="shared" si="10"/>
        <v>4861.0155688288969</v>
      </c>
      <c r="H52" s="17"/>
      <c r="I52" s="12">
        <v>14.6</v>
      </c>
      <c r="J52" s="64"/>
      <c r="K52" s="38"/>
      <c r="L52" s="38"/>
      <c r="N52" s="29">
        <v>48314</v>
      </c>
      <c r="O52" s="18"/>
      <c r="P52" s="58">
        <v>0</v>
      </c>
      <c r="Q52" s="18">
        <f t="shared" si="11"/>
        <v>0</v>
      </c>
      <c r="R52" s="4">
        <f t="shared" si="12"/>
        <v>0</v>
      </c>
    </row>
    <row r="53" spans="1:20" x14ac:dyDescent="0.25">
      <c r="B53" s="10">
        <v>2017</v>
      </c>
      <c r="C53" s="11">
        <v>1053030.9082251894</v>
      </c>
      <c r="D53" s="29">
        <v>47353.142857141793</v>
      </c>
      <c r="E53" s="17"/>
      <c r="F53" s="17">
        <f>C10-F10-SUM($E$6:E10)</f>
        <v>1053030.9082251894</v>
      </c>
      <c r="G53" s="17">
        <f t="shared" si="10"/>
        <v>4774.6817019902837</v>
      </c>
      <c r="H53" s="17"/>
      <c r="I53" s="12">
        <v>14.6</v>
      </c>
      <c r="J53" s="64"/>
      <c r="K53" s="38"/>
      <c r="L53" s="38"/>
      <c r="N53" s="29">
        <v>47353.142857141793</v>
      </c>
      <c r="O53" s="18"/>
      <c r="P53" s="58">
        <v>0</v>
      </c>
      <c r="Q53" s="18">
        <f t="shared" si="11"/>
        <v>0</v>
      </c>
      <c r="R53" s="4">
        <f>Q53-Q52</f>
        <v>0</v>
      </c>
    </row>
    <row r="54" spans="1:20" x14ac:dyDescent="0.25">
      <c r="A54" s="3" t="s">
        <v>3</v>
      </c>
      <c r="B54" s="10">
        <v>2018</v>
      </c>
      <c r="C54" s="11">
        <v>1166385.7116395417</v>
      </c>
      <c r="D54" s="56">
        <f>R54</f>
        <v>51642.285714285448</v>
      </c>
      <c r="E54" s="17">
        <f>E53+D54</f>
        <v>51642.285714285448</v>
      </c>
      <c r="F54" s="17">
        <f>C11-F11-SUM($E$6:E11)</f>
        <v>1114743.4259252562</v>
      </c>
      <c r="G54" s="17">
        <f t="shared" si="10"/>
        <v>4572.9047607923612</v>
      </c>
      <c r="H54" s="17"/>
      <c r="I54" s="12">
        <v>14.6</v>
      </c>
      <c r="J54" s="64"/>
      <c r="K54" s="38">
        <v>199</v>
      </c>
      <c r="L54" s="43">
        <f>L53+K54</f>
        <v>199</v>
      </c>
      <c r="N54" s="29">
        <v>51642.285714285448</v>
      </c>
      <c r="O54" s="17">
        <f>O53+N54</f>
        <v>51642.285714285448</v>
      </c>
      <c r="P54" s="58">
        <f>IF(C54&gt;O54,0,1)</f>
        <v>0</v>
      </c>
      <c r="Q54" s="17">
        <f t="shared" si="11"/>
        <v>51642.285714285448</v>
      </c>
      <c r="R54" s="4">
        <f>Q54-Q53</f>
        <v>51642.285714285448</v>
      </c>
      <c r="T54" s="2"/>
    </row>
    <row r="55" spans="1:20" x14ac:dyDescent="0.25">
      <c r="B55" s="10">
        <v>2019</v>
      </c>
      <c r="C55" s="11">
        <v>1206991.5861911501</v>
      </c>
      <c r="D55" s="56">
        <f t="shared" ref="D55:D86" si="13">R55</f>
        <v>55931.428571427241</v>
      </c>
      <c r="E55" s="17">
        <f t="shared" ref="E55:E86" si="14">E54+D55</f>
        <v>107573.71428571269</v>
      </c>
      <c r="F55" s="17">
        <f>C12-F12-SUM($E$6:E12)</f>
        <v>1099417.8719054374</v>
      </c>
      <c r="G55" s="17">
        <f t="shared" si="10"/>
        <v>4374.8827982689982</v>
      </c>
      <c r="H55" s="17"/>
      <c r="I55" s="12">
        <v>14.6</v>
      </c>
      <c r="J55" s="65">
        <f>J12</f>
        <v>0</v>
      </c>
      <c r="K55" s="43">
        <v>280</v>
      </c>
      <c r="L55" s="43">
        <f>L54+K55</f>
        <v>479</v>
      </c>
      <c r="N55" s="29">
        <v>55931.428571427241</v>
      </c>
      <c r="O55" s="17">
        <f t="shared" ref="O55:O86" si="15">O54+N55</f>
        <v>107573.71428571269</v>
      </c>
      <c r="P55" s="58">
        <f t="shared" ref="P55:P86" si="16">IF(C55&gt;O55,0,1)</f>
        <v>0</v>
      </c>
      <c r="Q55" s="17">
        <f t="shared" si="11"/>
        <v>107573.71428571269</v>
      </c>
      <c r="R55" s="4">
        <f>Q55-Q54</f>
        <v>55931.428571427241</v>
      </c>
      <c r="S55" s="2"/>
      <c r="T55" s="2"/>
    </row>
    <row r="56" spans="1:20" x14ac:dyDescent="0.25">
      <c r="B56" s="10">
        <v>2020</v>
      </c>
      <c r="C56" s="11">
        <v>1247784.1313553418</v>
      </c>
      <c r="D56" s="56">
        <f t="shared" si="13"/>
        <v>60220.571428570896</v>
      </c>
      <c r="E56" s="17">
        <f t="shared" si="14"/>
        <v>167794.28571428359</v>
      </c>
      <c r="F56" s="17">
        <f>C13-F13-SUM($E$6:E13)</f>
        <v>1079989.8456410582</v>
      </c>
      <c r="G56" s="17">
        <f t="shared" si="10"/>
        <v>4178.1480588033037</v>
      </c>
      <c r="H56" s="17"/>
      <c r="I56" s="12">
        <v>14.6</v>
      </c>
      <c r="J56" s="65">
        <f t="shared" ref="J56:J86" si="17">J13</f>
        <v>5.4545454545454543E-2</v>
      </c>
      <c r="K56" s="43">
        <f t="shared" ref="K56:K86" si="18">J56*D56</f>
        <v>3284.7584415584124</v>
      </c>
      <c r="L56" s="43">
        <f t="shared" ref="L56:L86" si="19">L55+K56</f>
        <v>3763.7584415584124</v>
      </c>
      <c r="N56" s="29">
        <v>60220.571428570896</v>
      </c>
      <c r="O56" s="17">
        <f t="shared" si="15"/>
        <v>167794.28571428359</v>
      </c>
      <c r="P56" s="58">
        <f t="shared" si="16"/>
        <v>0</v>
      </c>
      <c r="Q56" s="17">
        <f t="shared" si="11"/>
        <v>167794.28571428359</v>
      </c>
      <c r="R56" s="4">
        <f t="shared" ref="R56:R86" si="20">Q56-Q55</f>
        <v>60220.571428570896</v>
      </c>
      <c r="S56" s="2"/>
      <c r="T56" s="2"/>
    </row>
    <row r="57" spans="1:20" x14ac:dyDescent="0.25">
      <c r="B57" s="10">
        <v>2021</v>
      </c>
      <c r="C57" s="11">
        <v>1288748.2711188961</v>
      </c>
      <c r="D57" s="56">
        <f t="shared" si="13"/>
        <v>64509.714285714552</v>
      </c>
      <c r="E57" s="17">
        <f t="shared" si="14"/>
        <v>232303.99999999814</v>
      </c>
      <c r="F57" s="17">
        <f>C14-F14-SUM($E$6:E14)</f>
        <v>1056444.2711188979</v>
      </c>
      <c r="G57" s="17">
        <f t="shared" si="10"/>
        <v>3982.5406391933921</v>
      </c>
      <c r="H57" s="17"/>
      <c r="I57" s="12">
        <v>14.6</v>
      </c>
      <c r="J57" s="65">
        <f t="shared" si="17"/>
        <v>0.10909090909090909</v>
      </c>
      <c r="K57" s="43">
        <f t="shared" si="18"/>
        <v>7037.4233766234056</v>
      </c>
      <c r="L57" s="43">
        <f t="shared" si="19"/>
        <v>10801.181818181818</v>
      </c>
      <c r="N57" s="29">
        <v>64509.714285714552</v>
      </c>
      <c r="O57" s="17">
        <f t="shared" si="15"/>
        <v>232303.99999999814</v>
      </c>
      <c r="P57" s="58">
        <f t="shared" si="16"/>
        <v>0</v>
      </c>
      <c r="Q57" s="17">
        <f>P57*C57+(1-P57)*O57</f>
        <v>232303.99999999814</v>
      </c>
      <c r="R57" s="4">
        <f t="shared" si="20"/>
        <v>64509.714285714552</v>
      </c>
      <c r="S57" s="2"/>
      <c r="T57" s="2"/>
    </row>
    <row r="58" spans="1:20" x14ac:dyDescent="0.25">
      <c r="B58" s="10">
        <v>2022</v>
      </c>
      <c r="C58" s="11">
        <v>1329857.3224403893</v>
      </c>
      <c r="D58" s="56">
        <f t="shared" si="13"/>
        <v>68798.857142856345</v>
      </c>
      <c r="E58" s="17">
        <f t="shared" si="14"/>
        <v>301102.85714285448</v>
      </c>
      <c r="F58" s="17">
        <f>C15-F15-SUM($E$6:E15)</f>
        <v>1028754.4652975346</v>
      </c>
      <c r="G58" s="17">
        <f t="shared" si="10"/>
        <v>3788.1330883649962</v>
      </c>
      <c r="H58" s="17"/>
      <c r="I58" s="12">
        <v>14.6</v>
      </c>
      <c r="J58" s="65">
        <f t="shared" si="17"/>
        <v>0.16363636363636364</v>
      </c>
      <c r="K58" s="43">
        <f t="shared" si="18"/>
        <v>11257.994805194674</v>
      </c>
      <c r="L58" s="43">
        <f t="shared" si="19"/>
        <v>22059.176623376494</v>
      </c>
      <c r="N58" s="29">
        <v>68798.857142856345</v>
      </c>
      <c r="O58" s="17">
        <f t="shared" si="15"/>
        <v>301102.85714285448</v>
      </c>
      <c r="P58" s="58">
        <f t="shared" si="16"/>
        <v>0</v>
      </c>
      <c r="Q58" s="17">
        <f t="shared" si="11"/>
        <v>301102.85714285448</v>
      </c>
      <c r="R58" s="4">
        <f t="shared" si="20"/>
        <v>68798.857142856345</v>
      </c>
      <c r="S58" s="2"/>
      <c r="T58" s="2"/>
    </row>
    <row r="59" spans="1:20" x14ac:dyDescent="0.25">
      <c r="B59" s="10">
        <v>2023</v>
      </c>
      <c r="C59" s="11">
        <v>1371090.8945916586</v>
      </c>
      <c r="D59" s="56">
        <f t="shared" si="13"/>
        <v>73088</v>
      </c>
      <c r="E59" s="17">
        <f t="shared" si="14"/>
        <v>374190.85714285448</v>
      </c>
      <c r="F59" s="17">
        <f>C16-F16-SUM($E$6:E16)</f>
        <v>996900.03744880413</v>
      </c>
      <c r="G59" s="17">
        <f t="shared" si="10"/>
        <v>3594.6941276091529</v>
      </c>
      <c r="H59" s="17"/>
      <c r="I59" s="12">
        <v>14.6</v>
      </c>
      <c r="J59" s="65">
        <f t="shared" si="17"/>
        <v>0.21818181818181817</v>
      </c>
      <c r="K59" s="43">
        <f t="shared" si="18"/>
        <v>15946.472727272727</v>
      </c>
      <c r="L59" s="43">
        <f t="shared" si="19"/>
        <v>38005.649350649219</v>
      </c>
      <c r="N59" s="29">
        <v>73088</v>
      </c>
      <c r="O59" s="17">
        <f t="shared" si="15"/>
        <v>374190.85714285448</v>
      </c>
      <c r="P59" s="58">
        <f t="shared" si="16"/>
        <v>0</v>
      </c>
      <c r="Q59" s="17">
        <f t="shared" si="11"/>
        <v>374190.85714285448</v>
      </c>
      <c r="R59" s="4">
        <f t="shared" si="20"/>
        <v>73088</v>
      </c>
      <c r="S59" s="2"/>
      <c r="T59" s="2"/>
    </row>
    <row r="60" spans="1:20" x14ac:dyDescent="0.25">
      <c r="B60" s="10">
        <v>2024</v>
      </c>
      <c r="C60" s="11">
        <v>1412434.5035978679</v>
      </c>
      <c r="D60" s="56">
        <f t="shared" si="13"/>
        <v>77377.142857141793</v>
      </c>
      <c r="E60" s="17">
        <f t="shared" si="14"/>
        <v>451567.99999999627</v>
      </c>
      <c r="F60" s="17">
        <f>C17-F17-SUM($E$6:E17)</f>
        <v>960866.50359787163</v>
      </c>
      <c r="G60" s="17">
        <f t="shared" si="10"/>
        <v>3401.7275357727162</v>
      </c>
      <c r="H60" s="17"/>
      <c r="I60" s="12">
        <v>14.6</v>
      </c>
      <c r="J60" s="65">
        <f t="shared" si="17"/>
        <v>0.27272727272727271</v>
      </c>
      <c r="K60" s="43">
        <f t="shared" si="18"/>
        <v>21102.85714285685</v>
      </c>
      <c r="L60" s="43">
        <f t="shared" si="19"/>
        <v>59108.506493506065</v>
      </c>
      <c r="N60" s="29">
        <v>77377.142857141793</v>
      </c>
      <c r="O60" s="17">
        <f t="shared" si="15"/>
        <v>451567.99999999627</v>
      </c>
      <c r="P60" s="58">
        <f t="shared" si="16"/>
        <v>0</v>
      </c>
      <c r="Q60" s="17">
        <f t="shared" si="11"/>
        <v>451567.99999999627</v>
      </c>
      <c r="R60" s="4">
        <f t="shared" si="20"/>
        <v>77377.142857141793</v>
      </c>
      <c r="S60" s="2"/>
      <c r="T60" s="2"/>
    </row>
    <row r="61" spans="1:20" x14ac:dyDescent="0.25">
      <c r="B61" s="10">
        <v>2025</v>
      </c>
      <c r="C61" s="11">
        <v>1453842.0175012546</v>
      </c>
      <c r="D61" s="56">
        <f t="shared" si="13"/>
        <v>81666.285714285448</v>
      </c>
      <c r="E61" s="17">
        <f t="shared" si="14"/>
        <v>533234.28571428172</v>
      </c>
      <c r="F61" s="17">
        <f>C18-F18-SUM($E$6:E18)</f>
        <v>920607.73178697273</v>
      </c>
      <c r="G61" s="17">
        <f t="shared" si="10"/>
        <v>3209.4200578255791</v>
      </c>
      <c r="H61" s="17"/>
      <c r="I61" s="12">
        <v>14.6</v>
      </c>
      <c r="J61" s="65">
        <f t="shared" si="17"/>
        <v>0.32727272727272727</v>
      </c>
      <c r="K61" s="43">
        <f t="shared" si="18"/>
        <v>26727.148051947966</v>
      </c>
      <c r="L61" s="43">
        <f t="shared" si="19"/>
        <v>85835.654545454032</v>
      </c>
      <c r="N61" s="29">
        <v>81666.285714285448</v>
      </c>
      <c r="O61" s="17">
        <f t="shared" si="15"/>
        <v>533234.28571428172</v>
      </c>
      <c r="P61" s="58">
        <f t="shared" si="16"/>
        <v>0</v>
      </c>
      <c r="Q61" s="17">
        <f t="shared" si="11"/>
        <v>533234.28571428172</v>
      </c>
      <c r="R61" s="4">
        <f t="shared" si="20"/>
        <v>81666.285714285448</v>
      </c>
      <c r="S61" s="2"/>
      <c r="T61" s="2"/>
    </row>
    <row r="62" spans="1:20" x14ac:dyDescent="0.25">
      <c r="B62" s="10">
        <v>2026</v>
      </c>
      <c r="C62" s="11">
        <v>1495296.6218874408</v>
      </c>
      <c r="D62" s="56">
        <f t="shared" si="13"/>
        <v>85955.428571427241</v>
      </c>
      <c r="E62" s="17">
        <f t="shared" si="14"/>
        <v>619189.71428570896</v>
      </c>
      <c r="F62" s="17">
        <f>C19-F19-SUM($E$6:E19)</f>
        <v>876106.90760173171</v>
      </c>
      <c r="G62" s="17">
        <f t="shared" si="10"/>
        <v>3016.9885445153564</v>
      </c>
      <c r="H62" s="17"/>
      <c r="I62" s="12">
        <v>14.6</v>
      </c>
      <c r="J62" s="65">
        <f t="shared" si="17"/>
        <v>0.38181818181818178</v>
      </c>
      <c r="K62" s="43">
        <f t="shared" si="18"/>
        <v>32819.345454544942</v>
      </c>
      <c r="L62" s="43">
        <f t="shared" si="19"/>
        <v>118654.99999999898</v>
      </c>
      <c r="N62" s="29">
        <v>85955.428571427241</v>
      </c>
      <c r="O62" s="17">
        <f t="shared" si="15"/>
        <v>619189.71428570896</v>
      </c>
      <c r="P62" s="58">
        <f t="shared" si="16"/>
        <v>0</v>
      </c>
      <c r="Q62" s="17">
        <f t="shared" si="11"/>
        <v>619189.71428570896</v>
      </c>
      <c r="R62" s="4">
        <f t="shared" si="20"/>
        <v>85955.428571427241</v>
      </c>
      <c r="S62" s="2"/>
      <c r="T62" s="2"/>
    </row>
    <row r="63" spans="1:20" x14ac:dyDescent="0.25">
      <c r="B63" s="10">
        <v>2027</v>
      </c>
      <c r="C63" s="11">
        <v>1536770.45903657</v>
      </c>
      <c r="D63" s="56">
        <f t="shared" si="13"/>
        <v>90244.571428570896</v>
      </c>
      <c r="E63" s="17">
        <f t="shared" si="14"/>
        <v>709434.28571427986</v>
      </c>
      <c r="F63" s="17">
        <f>C20-F20-SUM($E$6:E20)</f>
        <v>827336.17332229007</v>
      </c>
      <c r="G63" s="17">
        <f t="shared" si="10"/>
        <v>2823.7634828396308</v>
      </c>
      <c r="H63" s="17"/>
      <c r="I63" s="12">
        <v>14.6</v>
      </c>
      <c r="J63" s="65">
        <f t="shared" si="17"/>
        <v>0.43636363636363634</v>
      </c>
      <c r="K63" s="43">
        <f t="shared" si="18"/>
        <v>39379.44935064912</v>
      </c>
      <c r="L63" s="43">
        <f t="shared" si="19"/>
        <v>158034.44935064809</v>
      </c>
      <c r="N63" s="29">
        <v>90244.571428570896</v>
      </c>
      <c r="O63" s="17">
        <f t="shared" si="15"/>
        <v>709434.28571427986</v>
      </c>
      <c r="P63" s="58">
        <f t="shared" si="16"/>
        <v>0</v>
      </c>
      <c r="Q63" s="17">
        <f t="shared" si="11"/>
        <v>709434.28571427986</v>
      </c>
      <c r="R63" s="4">
        <f t="shared" si="20"/>
        <v>90244.571428570896</v>
      </c>
      <c r="S63" s="2"/>
      <c r="T63" s="2"/>
    </row>
    <row r="64" spans="1:20" x14ac:dyDescent="0.25">
      <c r="B64" s="10">
        <v>2028</v>
      </c>
      <c r="C64" s="11">
        <v>1578233.9588539612</v>
      </c>
      <c r="D64" s="56">
        <f t="shared" si="13"/>
        <v>94533.714285714552</v>
      </c>
      <c r="E64" s="17">
        <f t="shared" si="14"/>
        <v>803967.99999999441</v>
      </c>
      <c r="F64" s="17">
        <f>C21-F21-SUM($E$6:E21)</f>
        <v>774265.95885396679</v>
      </c>
      <c r="G64" s="17">
        <f t="shared" si="10"/>
        <v>2628.8861810769477</v>
      </c>
      <c r="H64" s="17"/>
      <c r="I64" s="12">
        <v>14.6</v>
      </c>
      <c r="J64" s="65">
        <f t="shared" si="17"/>
        <v>0.49090909090909085</v>
      </c>
      <c r="K64" s="43">
        <f t="shared" si="18"/>
        <v>46407.459740259867</v>
      </c>
      <c r="L64" s="43">
        <f t="shared" si="19"/>
        <v>204441.90909090795</v>
      </c>
      <c r="N64" s="29">
        <v>94533.714285714552</v>
      </c>
      <c r="O64" s="17">
        <f t="shared" si="15"/>
        <v>803967.99999999441</v>
      </c>
      <c r="P64" s="58">
        <f t="shared" si="16"/>
        <v>0</v>
      </c>
      <c r="Q64" s="17">
        <f t="shared" si="11"/>
        <v>803967.99999999441</v>
      </c>
      <c r="R64" s="4">
        <f t="shared" si="20"/>
        <v>94533.714285714552</v>
      </c>
      <c r="S64" s="2"/>
      <c r="T64" s="2"/>
    </row>
    <row r="65" spans="1:20" x14ac:dyDescent="0.25">
      <c r="B65" s="10">
        <v>2029</v>
      </c>
      <c r="C65" s="11">
        <v>1619667.6062884759</v>
      </c>
      <c r="D65" s="56">
        <f t="shared" si="13"/>
        <v>98822.857142856345</v>
      </c>
      <c r="E65" s="17">
        <f t="shared" si="14"/>
        <v>902790.85714285076</v>
      </c>
      <c r="F65" s="17">
        <f>C22-F22-SUM($E$6:E22)</f>
        <v>716876.74914562504</v>
      </c>
      <c r="G65" s="17">
        <f t="shared" si="10"/>
        <v>2431.0033800523142</v>
      </c>
      <c r="H65" s="17"/>
      <c r="I65" s="12">
        <v>14.6</v>
      </c>
      <c r="J65" s="65">
        <f t="shared" si="17"/>
        <v>0.54545454545454541</v>
      </c>
      <c r="K65" s="43">
        <f t="shared" si="18"/>
        <v>53903.376623376185</v>
      </c>
      <c r="L65" s="43">
        <f t="shared" si="19"/>
        <v>258345.28571428414</v>
      </c>
      <c r="N65" s="29">
        <v>98822.857142856345</v>
      </c>
      <c r="O65" s="17">
        <f t="shared" si="15"/>
        <v>902790.85714285076</v>
      </c>
      <c r="P65" s="58">
        <f t="shared" si="16"/>
        <v>0</v>
      </c>
      <c r="Q65" s="17">
        <f t="shared" si="11"/>
        <v>902790.85714285076</v>
      </c>
      <c r="R65" s="4">
        <f t="shared" si="20"/>
        <v>98822.857142856345</v>
      </c>
      <c r="S65" s="2"/>
      <c r="T65" s="2"/>
    </row>
    <row r="66" spans="1:20" x14ac:dyDescent="0.25">
      <c r="B66" s="10">
        <v>2030</v>
      </c>
      <c r="C66" s="11">
        <v>1661026.0804002865</v>
      </c>
      <c r="D66" s="56">
        <f t="shared" si="13"/>
        <v>103112</v>
      </c>
      <c r="E66" s="17">
        <f t="shared" si="14"/>
        <v>1005902.8571428508</v>
      </c>
      <c r="F66" s="17">
        <f>C23-F23-SUM($E$6:E23)</f>
        <v>655123.2232574356</v>
      </c>
      <c r="G66" s="17">
        <f t="shared" si="10"/>
        <v>2229.0223114014148</v>
      </c>
      <c r="H66" s="17"/>
      <c r="I66" s="12">
        <v>14.6</v>
      </c>
      <c r="J66" s="65">
        <f t="shared" si="17"/>
        <v>0.6</v>
      </c>
      <c r="K66" s="43">
        <f t="shared" si="18"/>
        <v>61867.199999999997</v>
      </c>
      <c r="L66" s="43">
        <f t="shared" si="19"/>
        <v>320212.48571428412</v>
      </c>
      <c r="N66" s="29">
        <v>103112</v>
      </c>
      <c r="O66" s="17">
        <f t="shared" si="15"/>
        <v>1005902.8571428508</v>
      </c>
      <c r="P66" s="58">
        <f t="shared" si="16"/>
        <v>0</v>
      </c>
      <c r="Q66" s="17">
        <f t="shared" si="11"/>
        <v>1005902.8571428508</v>
      </c>
      <c r="R66" s="4">
        <f>Q66-Q65</f>
        <v>103112</v>
      </c>
      <c r="S66" s="2"/>
      <c r="T66" s="2"/>
    </row>
    <row r="67" spans="1:20" x14ac:dyDescent="0.25">
      <c r="A67">
        <v>1</v>
      </c>
      <c r="B67" s="10">
        <v>2031</v>
      </c>
      <c r="C67" s="43">
        <f>C152</f>
        <v>1699877.2219293118</v>
      </c>
      <c r="D67" s="56">
        <f>R67</f>
        <v>107401.14285714203</v>
      </c>
      <c r="E67" s="17">
        <f t="shared" si="14"/>
        <v>1113303.9999999928</v>
      </c>
      <c r="F67" s="17">
        <f>C24-F24-SUM($E$6:E24)</f>
        <v>586573.22192931885</v>
      </c>
      <c r="G67" s="17">
        <f t="shared" ref="G67:G86" si="21">F67*K110/I67</f>
        <v>1995.7845372202278</v>
      </c>
      <c r="H67" s="17"/>
      <c r="I67" s="12">
        <v>14.6</v>
      </c>
      <c r="J67" s="65">
        <f t="shared" si="17"/>
        <v>0.65454545454545454</v>
      </c>
      <c r="K67" s="43">
        <f t="shared" si="18"/>
        <v>70298.92987012933</v>
      </c>
      <c r="L67" s="43">
        <f t="shared" si="19"/>
        <v>390511.41558441345</v>
      </c>
      <c r="N67" s="44">
        <v>107401.142857142</v>
      </c>
      <c r="O67" s="17">
        <f>O66+N67</f>
        <v>1113303.9999999928</v>
      </c>
      <c r="P67" s="58">
        <f t="shared" si="16"/>
        <v>0</v>
      </c>
      <c r="Q67" s="17">
        <f t="shared" si="11"/>
        <v>1113303.9999999928</v>
      </c>
      <c r="R67" s="4">
        <f t="shared" si="20"/>
        <v>107401.14285714203</v>
      </c>
      <c r="S67" s="2"/>
      <c r="T67" s="2"/>
    </row>
    <row r="68" spans="1:20" x14ac:dyDescent="0.25">
      <c r="A68">
        <v>2</v>
      </c>
      <c r="B68" s="10">
        <v>2032</v>
      </c>
      <c r="C68" s="43">
        <f t="shared" ref="C68:C86" si="22">C153</f>
        <v>1739712.7580529451</v>
      </c>
      <c r="D68" s="56">
        <f t="shared" si="13"/>
        <v>111690.28571428545</v>
      </c>
      <c r="E68" s="17">
        <f t="shared" si="14"/>
        <v>1224994.2857142782</v>
      </c>
      <c r="F68" s="17">
        <f>C25-F25-SUM($E$6:E25)</f>
        <v>514718.47233866679</v>
      </c>
      <c r="G68" s="17">
        <f t="shared" si="21"/>
        <v>1751.3025308866092</v>
      </c>
      <c r="H68" s="17"/>
      <c r="I68" s="12">
        <v>14.6</v>
      </c>
      <c r="J68" s="65">
        <f t="shared" si="17"/>
        <v>0.70909090909090911</v>
      </c>
      <c r="K68" s="43">
        <f t="shared" si="18"/>
        <v>79198.566233766047</v>
      </c>
      <c r="L68" s="43">
        <f t="shared" si="19"/>
        <v>469709.98181817948</v>
      </c>
      <c r="N68" s="44">
        <v>111690.28571428545</v>
      </c>
      <c r="O68" s="17">
        <f t="shared" si="15"/>
        <v>1224994.2857142782</v>
      </c>
      <c r="P68" s="58">
        <f t="shared" si="16"/>
        <v>0</v>
      </c>
      <c r="Q68" s="17">
        <f t="shared" si="11"/>
        <v>1224994.2857142782</v>
      </c>
      <c r="R68" s="4">
        <f t="shared" si="20"/>
        <v>111690.28571428545</v>
      </c>
      <c r="S68" s="2"/>
      <c r="T68" s="2"/>
    </row>
    <row r="69" spans="1:20" x14ac:dyDescent="0.25">
      <c r="A69">
        <v>3</v>
      </c>
      <c r="B69" s="10">
        <v>2033</v>
      </c>
      <c r="C69" s="43">
        <f t="shared" si="22"/>
        <v>1779272.0068622828</v>
      </c>
      <c r="D69" s="56">
        <f t="shared" si="13"/>
        <v>115979.42857142724</v>
      </c>
      <c r="E69" s="17">
        <f t="shared" si="14"/>
        <v>1340973.7142857055</v>
      </c>
      <c r="F69" s="17">
        <f>C26-F26-SUM($E$6:E26)</f>
        <v>438298.29257657717</v>
      </c>
      <c r="G69" s="17">
        <f t="shared" si="21"/>
        <v>1491.2868885101714</v>
      </c>
      <c r="H69" s="17"/>
      <c r="I69" s="12">
        <v>14.6</v>
      </c>
      <c r="J69" s="65">
        <f t="shared" si="17"/>
        <v>0.76363636363636356</v>
      </c>
      <c r="K69" s="43">
        <f t="shared" si="18"/>
        <v>88566.109090908067</v>
      </c>
      <c r="L69" s="43">
        <f t="shared" si="19"/>
        <v>558276.09090908756</v>
      </c>
      <c r="N69" s="44">
        <v>115979.42857142724</v>
      </c>
      <c r="O69" s="17">
        <f t="shared" si="15"/>
        <v>1340973.7142857055</v>
      </c>
      <c r="P69" s="58">
        <f t="shared" si="16"/>
        <v>0</v>
      </c>
      <c r="Q69" s="17">
        <f t="shared" si="11"/>
        <v>1340973.7142857055</v>
      </c>
      <c r="R69" s="4">
        <f t="shared" si="20"/>
        <v>115979.42857142724</v>
      </c>
      <c r="S69" s="2"/>
      <c r="T69" s="2"/>
    </row>
    <row r="70" spans="1:20" x14ac:dyDescent="0.25">
      <c r="A70">
        <v>4</v>
      </c>
      <c r="B70" s="10">
        <v>2034</v>
      </c>
      <c r="C70" s="43">
        <f t="shared" si="22"/>
        <v>1818554.9683576822</v>
      </c>
      <c r="D70" s="56">
        <f t="shared" si="13"/>
        <v>120268.5714285709</v>
      </c>
      <c r="E70" s="17">
        <f t="shared" si="14"/>
        <v>1461242.2857142764</v>
      </c>
      <c r="F70" s="17">
        <f>C27-F27-SUM($E$6:E27)</f>
        <v>357312.68264340574</v>
      </c>
      <c r="G70" s="17">
        <f t="shared" si="21"/>
        <v>1215.7376100921249</v>
      </c>
      <c r="H70" s="17"/>
      <c r="I70" s="12">
        <v>14.6</v>
      </c>
      <c r="J70" s="65">
        <f t="shared" si="17"/>
        <v>0.81818181818181812</v>
      </c>
      <c r="K70" s="43">
        <f t="shared" si="18"/>
        <v>98401.558441557994</v>
      </c>
      <c r="L70" s="43">
        <f t="shared" si="19"/>
        <v>656677.6493506456</v>
      </c>
      <c r="N70" s="44">
        <v>120268.5714285709</v>
      </c>
      <c r="O70" s="17">
        <f t="shared" si="15"/>
        <v>1461242.2857142764</v>
      </c>
      <c r="P70" s="58">
        <f t="shared" si="16"/>
        <v>0</v>
      </c>
      <c r="Q70" s="17">
        <f t="shared" si="11"/>
        <v>1461242.2857142764</v>
      </c>
      <c r="R70" s="4">
        <f t="shared" si="20"/>
        <v>120268.5714285709</v>
      </c>
      <c r="S70" s="2"/>
      <c r="T70" s="2"/>
    </row>
    <row r="71" spans="1:20" x14ac:dyDescent="0.25">
      <c r="A71">
        <v>5</v>
      </c>
      <c r="B71" s="10">
        <v>2035</v>
      </c>
      <c r="C71" s="43">
        <f t="shared" si="22"/>
        <v>1857561.6425389051</v>
      </c>
      <c r="D71" s="56">
        <f t="shared" si="13"/>
        <v>124557.71428571455</v>
      </c>
      <c r="E71" s="17">
        <f t="shared" si="14"/>
        <v>1585799.9999999909</v>
      </c>
      <c r="F71" s="17">
        <f>C28-F28-SUM($E$6:E28)</f>
        <v>271761.64253891411</v>
      </c>
      <c r="G71" s="17">
        <f t="shared" si="21"/>
        <v>924.65469563165868</v>
      </c>
      <c r="H71" s="17"/>
      <c r="I71" s="12">
        <v>14.6</v>
      </c>
      <c r="J71" s="65">
        <f t="shared" si="17"/>
        <v>0.87272727272727268</v>
      </c>
      <c r="K71" s="43">
        <f t="shared" si="18"/>
        <v>108704.91428571452</v>
      </c>
      <c r="L71" s="43">
        <f t="shared" si="19"/>
        <v>765382.56363636011</v>
      </c>
      <c r="N71" s="44">
        <v>124557.71428571455</v>
      </c>
      <c r="O71" s="17">
        <f t="shared" si="15"/>
        <v>1585799.9999999909</v>
      </c>
      <c r="P71" s="58">
        <f t="shared" si="16"/>
        <v>0</v>
      </c>
      <c r="Q71" s="17">
        <f t="shared" si="11"/>
        <v>1585799.9999999909</v>
      </c>
      <c r="R71" s="4">
        <f t="shared" si="20"/>
        <v>124557.71428571455</v>
      </c>
      <c r="S71" s="2"/>
      <c r="T71" s="2"/>
    </row>
    <row r="72" spans="1:20" x14ac:dyDescent="0.25">
      <c r="A72">
        <v>6</v>
      </c>
      <c r="B72" s="10">
        <v>2036</v>
      </c>
      <c r="C72" s="43">
        <f t="shared" si="22"/>
        <v>1896292.0294060707</v>
      </c>
      <c r="D72" s="56">
        <f t="shared" si="13"/>
        <v>128846.85714285634</v>
      </c>
      <c r="E72" s="17">
        <f t="shared" si="14"/>
        <v>1714646.8571428473</v>
      </c>
      <c r="F72" s="17">
        <f>C29-F29-SUM($E$6:E29)</f>
        <v>181645.17226322333</v>
      </c>
      <c r="G72" s="17">
        <f t="shared" si="21"/>
        <v>618.03814512918461</v>
      </c>
      <c r="H72" s="17"/>
      <c r="I72" s="12">
        <v>14.6</v>
      </c>
      <c r="J72" s="65">
        <f t="shared" si="17"/>
        <v>0.92727272727272725</v>
      </c>
      <c r="K72" s="43">
        <f t="shared" si="18"/>
        <v>119476.17662337588</v>
      </c>
      <c r="L72" s="43">
        <f t="shared" si="19"/>
        <v>884858.74025973596</v>
      </c>
      <c r="N72" s="44">
        <v>128846.85714285634</v>
      </c>
      <c r="O72" s="17">
        <f t="shared" si="15"/>
        <v>1714646.8571428473</v>
      </c>
      <c r="P72" s="58">
        <f t="shared" si="16"/>
        <v>0</v>
      </c>
      <c r="Q72" s="17">
        <f t="shared" si="11"/>
        <v>1714646.8571428473</v>
      </c>
      <c r="R72" s="4">
        <f t="shared" si="20"/>
        <v>128846.85714285634</v>
      </c>
      <c r="S72" s="2"/>
      <c r="T72" s="2"/>
    </row>
    <row r="73" spans="1:20" x14ac:dyDescent="0.25">
      <c r="A73">
        <v>7</v>
      </c>
      <c r="B73" s="10">
        <v>2037</v>
      </c>
      <c r="C73" s="43">
        <f t="shared" si="22"/>
        <v>1934746.1289587021</v>
      </c>
      <c r="D73" s="56">
        <f t="shared" si="13"/>
        <v>133136</v>
      </c>
      <c r="E73" s="17">
        <f t="shared" si="14"/>
        <v>1847782.8571428473</v>
      </c>
      <c r="F73" s="17">
        <f>C30-F30-SUM($E$6:E30)</f>
        <v>86963.271815854707</v>
      </c>
      <c r="G73" s="17">
        <f t="shared" si="21"/>
        <v>295.8879585830739</v>
      </c>
      <c r="H73" s="17"/>
      <c r="I73" s="12">
        <v>14.6</v>
      </c>
      <c r="J73" s="65">
        <f t="shared" si="17"/>
        <v>0.9818181818181817</v>
      </c>
      <c r="K73" s="43">
        <f t="shared" si="18"/>
        <v>130715.34545454544</v>
      </c>
      <c r="L73" s="43">
        <f t="shared" si="19"/>
        <v>1015574.0857142814</v>
      </c>
      <c r="N73" s="44">
        <v>133136</v>
      </c>
      <c r="O73" s="17">
        <f t="shared" si="15"/>
        <v>1847782.8571428473</v>
      </c>
      <c r="P73" s="58">
        <f t="shared" si="16"/>
        <v>0</v>
      </c>
      <c r="Q73" s="17">
        <f t="shared" si="11"/>
        <v>1847782.8571428473</v>
      </c>
      <c r="R73" s="4">
        <f t="shared" si="20"/>
        <v>133136</v>
      </c>
      <c r="S73" s="2"/>
      <c r="T73" s="2"/>
    </row>
    <row r="74" spans="1:20" x14ac:dyDescent="0.25">
      <c r="A74">
        <v>8</v>
      </c>
      <c r="B74" s="10">
        <v>2038</v>
      </c>
      <c r="C74" s="43">
        <f t="shared" si="22"/>
        <v>1972923.9411973953</v>
      </c>
      <c r="D74" s="56">
        <f t="shared" si="13"/>
        <v>125141.08405454806</v>
      </c>
      <c r="E74" s="17">
        <f t="shared" si="14"/>
        <v>1972923.9411973953</v>
      </c>
      <c r="F74" s="17">
        <f>C31-F31-SUM($E$6:E31)</f>
        <v>0</v>
      </c>
      <c r="G74" s="17">
        <f t="shared" si="21"/>
        <v>0</v>
      </c>
      <c r="H74" s="17"/>
      <c r="I74" s="12">
        <v>14.6</v>
      </c>
      <c r="J74" s="65">
        <f t="shared" si="17"/>
        <v>1.0363636363636362</v>
      </c>
      <c r="K74" s="43">
        <f t="shared" si="18"/>
        <v>129691.66892925887</v>
      </c>
      <c r="L74" s="43">
        <f t="shared" si="19"/>
        <v>1145265.7546435404</v>
      </c>
      <c r="N74" s="44">
        <v>137425.14285714179</v>
      </c>
      <c r="O74" s="17">
        <f t="shared" si="15"/>
        <v>1985207.9999999891</v>
      </c>
      <c r="P74" s="58">
        <f t="shared" si="16"/>
        <v>1</v>
      </c>
      <c r="Q74" s="17">
        <f t="shared" si="11"/>
        <v>1972923.9411973953</v>
      </c>
      <c r="R74" s="4">
        <f t="shared" si="20"/>
        <v>125141.08405454806</v>
      </c>
      <c r="S74" s="2"/>
      <c r="T74" s="2"/>
    </row>
    <row r="75" spans="1:20" x14ac:dyDescent="0.25">
      <c r="A75">
        <v>9</v>
      </c>
      <c r="B75" s="10">
        <v>2039</v>
      </c>
      <c r="C75" s="43">
        <f t="shared" si="22"/>
        <v>2010825.466121912</v>
      </c>
      <c r="D75" s="56">
        <f t="shared" si="13"/>
        <v>37901.524924516678</v>
      </c>
      <c r="E75" s="17">
        <f t="shared" si="14"/>
        <v>2010825.466121912</v>
      </c>
      <c r="F75" s="17">
        <f>C32-F32-SUM($E$6:E32)</f>
        <v>0</v>
      </c>
      <c r="G75" s="17">
        <f t="shared" si="21"/>
        <v>0</v>
      </c>
      <c r="H75" s="17"/>
      <c r="I75" s="12">
        <v>14.6</v>
      </c>
      <c r="J75" s="65">
        <f t="shared" si="17"/>
        <v>1.0909090909090908</v>
      </c>
      <c r="K75" s="43">
        <f t="shared" si="18"/>
        <v>41347.118099472733</v>
      </c>
      <c r="L75" s="43">
        <f t="shared" si="19"/>
        <v>1186612.8727430131</v>
      </c>
      <c r="N75" s="44">
        <v>141714.28571428545</v>
      </c>
      <c r="O75" s="17">
        <f t="shared" si="15"/>
        <v>2126922.2857142743</v>
      </c>
      <c r="P75" s="58">
        <f t="shared" si="16"/>
        <v>1</v>
      </c>
      <c r="Q75" s="17">
        <f t="shared" si="11"/>
        <v>2010825.466121912</v>
      </c>
      <c r="R75" s="4">
        <f t="shared" si="20"/>
        <v>37901.524924516678</v>
      </c>
      <c r="S75" s="2"/>
      <c r="T75" s="2"/>
    </row>
    <row r="76" spans="1:20" x14ac:dyDescent="0.25">
      <c r="A76">
        <v>10</v>
      </c>
      <c r="B76" s="10">
        <v>2040</v>
      </c>
      <c r="C76" s="43">
        <f t="shared" si="22"/>
        <v>2048450.7037320137</v>
      </c>
      <c r="D76" s="56">
        <f t="shared" si="13"/>
        <v>37625.2376101017</v>
      </c>
      <c r="E76" s="17">
        <f t="shared" si="14"/>
        <v>2048450.7037320137</v>
      </c>
      <c r="F76" s="17">
        <f>C33-F33-SUM($E$6:E33)</f>
        <v>0</v>
      </c>
      <c r="G76" s="17">
        <f t="shared" si="21"/>
        <v>0</v>
      </c>
      <c r="H76" s="17"/>
      <c r="I76" s="12">
        <v>14.6</v>
      </c>
      <c r="J76" s="65">
        <f t="shared" si="17"/>
        <v>1.1454545454545453</v>
      </c>
      <c r="K76" s="43">
        <f t="shared" si="18"/>
        <v>43097.999444298301</v>
      </c>
      <c r="L76" s="43">
        <f t="shared" si="19"/>
        <v>1229710.8721873113</v>
      </c>
      <c r="N76" s="44">
        <v>146003.42857142724</v>
      </c>
      <c r="O76" s="17">
        <f t="shared" si="15"/>
        <v>2272925.7142857015</v>
      </c>
      <c r="P76" s="58">
        <f t="shared" si="16"/>
        <v>1</v>
      </c>
      <c r="Q76" s="17">
        <f t="shared" si="11"/>
        <v>2048450.7037320137</v>
      </c>
      <c r="R76" s="4">
        <f t="shared" si="20"/>
        <v>37625.2376101017</v>
      </c>
      <c r="S76" s="2"/>
      <c r="T76" s="2"/>
    </row>
    <row r="77" spans="1:20" x14ac:dyDescent="0.25">
      <c r="A77">
        <v>11</v>
      </c>
      <c r="B77" s="10">
        <v>2041</v>
      </c>
      <c r="C77" s="43">
        <f t="shared" si="22"/>
        <v>2085799.6540281773</v>
      </c>
      <c r="D77" s="56">
        <f t="shared" si="13"/>
        <v>37348.950296163559</v>
      </c>
      <c r="E77" s="17">
        <f t="shared" si="14"/>
        <v>2085799.6540281773</v>
      </c>
      <c r="F77" s="17">
        <f>C34-F34-SUM($E$6:E34)</f>
        <v>0</v>
      </c>
      <c r="G77" s="17">
        <f t="shared" si="21"/>
        <v>0</v>
      </c>
      <c r="H77" s="17"/>
      <c r="I77" s="12">
        <v>14.6</v>
      </c>
      <c r="J77" s="65">
        <f t="shared" si="17"/>
        <v>1.2</v>
      </c>
      <c r="K77" s="43">
        <f t="shared" si="18"/>
        <v>44818.740355396272</v>
      </c>
      <c r="L77" s="43">
        <f t="shared" si="19"/>
        <v>1274529.6125427075</v>
      </c>
      <c r="N77" s="44">
        <v>150292.5714285709</v>
      </c>
      <c r="O77" s="17">
        <f t="shared" si="15"/>
        <v>2423218.2857142724</v>
      </c>
      <c r="P77" s="58">
        <f t="shared" si="16"/>
        <v>1</v>
      </c>
      <c r="Q77" s="17">
        <f t="shared" si="11"/>
        <v>2085799.6540281773</v>
      </c>
      <c r="R77" s="4">
        <f t="shared" si="20"/>
        <v>37348.950296163559</v>
      </c>
      <c r="S77" s="2"/>
      <c r="T77" s="2"/>
    </row>
    <row r="78" spans="1:20" x14ac:dyDescent="0.25">
      <c r="A78">
        <v>12</v>
      </c>
      <c r="B78" s="10">
        <v>2042</v>
      </c>
      <c r="C78" s="43">
        <f t="shared" si="22"/>
        <v>2122872.3170102835</v>
      </c>
      <c r="D78" s="56">
        <f t="shared" si="13"/>
        <v>37072.662982106209</v>
      </c>
      <c r="E78" s="17">
        <f t="shared" si="14"/>
        <v>2122872.3170102835</v>
      </c>
      <c r="F78" s="17">
        <f>C35-F35-SUM($E$6:E35)</f>
        <v>0</v>
      </c>
      <c r="G78" s="17">
        <f t="shared" si="21"/>
        <v>0</v>
      </c>
      <c r="H78" s="17"/>
      <c r="I78" s="12">
        <v>14.6</v>
      </c>
      <c r="J78" s="65">
        <f t="shared" si="17"/>
        <v>1.2545454545454544</v>
      </c>
      <c r="K78" s="43">
        <f t="shared" si="18"/>
        <v>46509.340832096874</v>
      </c>
      <c r="L78" s="43">
        <f t="shared" si="19"/>
        <v>1321038.9533748045</v>
      </c>
      <c r="N78" s="44">
        <v>154581.71428571455</v>
      </c>
      <c r="O78" s="17">
        <f t="shared" si="15"/>
        <v>2577799.999999987</v>
      </c>
      <c r="P78" s="58">
        <f t="shared" si="16"/>
        <v>1</v>
      </c>
      <c r="Q78" s="17">
        <f t="shared" si="11"/>
        <v>2122872.3170102835</v>
      </c>
      <c r="R78" s="4">
        <f t="shared" si="20"/>
        <v>37072.662982106209</v>
      </c>
      <c r="S78" s="2"/>
      <c r="T78" s="2"/>
    </row>
    <row r="79" spans="1:20" x14ac:dyDescent="0.25">
      <c r="A79">
        <v>13</v>
      </c>
      <c r="B79" s="10">
        <v>2043</v>
      </c>
      <c r="C79" s="43">
        <f t="shared" si="22"/>
        <v>2159668.6926778555</v>
      </c>
      <c r="D79" s="56">
        <f t="shared" si="13"/>
        <v>36796.375667572021</v>
      </c>
      <c r="E79" s="17">
        <f t="shared" si="14"/>
        <v>2159668.6926778555</v>
      </c>
      <c r="F79" s="17">
        <f>C36-F36-SUM($E$6:E36)</f>
        <v>0</v>
      </c>
      <c r="G79" s="17">
        <f t="shared" si="21"/>
        <v>0</v>
      </c>
      <c r="H79" s="17"/>
      <c r="I79" s="12">
        <v>14.6</v>
      </c>
      <c r="J79" s="65">
        <f t="shared" si="17"/>
        <v>1.3090909090909091</v>
      </c>
      <c r="K79" s="43">
        <f t="shared" si="18"/>
        <v>48169.800873912463</v>
      </c>
      <c r="L79" s="43">
        <f t="shared" si="19"/>
        <v>1369208.7542487169</v>
      </c>
      <c r="N79" s="44">
        <v>158870.85714285634</v>
      </c>
      <c r="O79" s="17">
        <f t="shared" si="15"/>
        <v>2736670.8571428433</v>
      </c>
      <c r="P79" s="58">
        <f t="shared" si="16"/>
        <v>1</v>
      </c>
      <c r="Q79" s="17">
        <f t="shared" si="11"/>
        <v>2159668.6926778555</v>
      </c>
      <c r="R79" s="4">
        <f t="shared" si="20"/>
        <v>36796.375667572021</v>
      </c>
      <c r="S79" s="2"/>
      <c r="T79" s="2"/>
    </row>
    <row r="80" spans="1:20" x14ac:dyDescent="0.25">
      <c r="A80">
        <v>14</v>
      </c>
      <c r="B80" s="10">
        <v>2044</v>
      </c>
      <c r="C80" s="43">
        <f t="shared" si="22"/>
        <v>2196188.7810314894</v>
      </c>
      <c r="D80" s="56">
        <f t="shared" si="13"/>
        <v>36520.088353633881</v>
      </c>
      <c r="E80" s="17">
        <f t="shared" si="14"/>
        <v>2196188.7810314894</v>
      </c>
      <c r="F80" s="17">
        <f>C37-F37-SUM($E$6:E37)</f>
        <v>0</v>
      </c>
      <c r="G80" s="17">
        <f t="shared" si="21"/>
        <v>0</v>
      </c>
      <c r="H80" s="17"/>
      <c r="I80" s="12">
        <v>14.6</v>
      </c>
      <c r="J80" s="65">
        <f t="shared" si="17"/>
        <v>1.3636363636363635</v>
      </c>
      <c r="K80" s="43">
        <f t="shared" si="18"/>
        <v>49800.120482228012</v>
      </c>
      <c r="L80" s="43">
        <f t="shared" si="19"/>
        <v>1419008.8747309449</v>
      </c>
      <c r="N80" s="44">
        <v>163160</v>
      </c>
      <c r="O80" s="17">
        <f t="shared" si="15"/>
        <v>2899830.8571428433</v>
      </c>
      <c r="P80" s="58">
        <f t="shared" si="16"/>
        <v>1</v>
      </c>
      <c r="Q80" s="17">
        <f t="shared" si="11"/>
        <v>2196188.7810314894</v>
      </c>
      <c r="R80" s="4">
        <f t="shared" si="20"/>
        <v>36520.088353633881</v>
      </c>
      <c r="S80" s="2"/>
      <c r="T80" s="2"/>
    </row>
    <row r="81" spans="1:20" x14ac:dyDescent="0.25">
      <c r="A81">
        <v>15</v>
      </c>
      <c r="B81" s="10">
        <v>2045</v>
      </c>
      <c r="C81" s="43">
        <f t="shared" si="22"/>
        <v>2232432.5820710659</v>
      </c>
      <c r="D81" s="56">
        <f t="shared" si="13"/>
        <v>36243.80103957653</v>
      </c>
      <c r="E81" s="17">
        <f t="shared" si="14"/>
        <v>2232432.5820710659</v>
      </c>
      <c r="F81" s="17">
        <f>C38-F38-SUM($E$6:E38)</f>
        <v>0</v>
      </c>
      <c r="G81" s="17">
        <f t="shared" si="21"/>
        <v>0</v>
      </c>
      <c r="H81" s="17"/>
      <c r="I81" s="12">
        <v>14.6</v>
      </c>
      <c r="J81" s="65">
        <f t="shared" si="17"/>
        <v>1.4181818181818182</v>
      </c>
      <c r="K81" s="43">
        <f t="shared" si="18"/>
        <v>51400.299656126714</v>
      </c>
      <c r="L81" s="43">
        <f t="shared" si="19"/>
        <v>1470409.1743870715</v>
      </c>
      <c r="N81" s="44">
        <v>167449.14285714179</v>
      </c>
      <c r="O81" s="17">
        <f t="shared" si="15"/>
        <v>3067279.9999999851</v>
      </c>
      <c r="P81" s="58">
        <f t="shared" si="16"/>
        <v>1</v>
      </c>
      <c r="Q81" s="17">
        <f t="shared" si="11"/>
        <v>2232432.5820710659</v>
      </c>
      <c r="R81" s="4">
        <f t="shared" si="20"/>
        <v>36243.80103957653</v>
      </c>
      <c r="S81" s="2"/>
      <c r="T81" s="2"/>
    </row>
    <row r="82" spans="1:20" x14ac:dyDescent="0.25">
      <c r="A82">
        <v>16</v>
      </c>
      <c r="B82" s="10">
        <v>2046</v>
      </c>
      <c r="C82" s="43">
        <f t="shared" si="22"/>
        <v>2268400.0957963467</v>
      </c>
      <c r="D82" s="56">
        <f t="shared" si="13"/>
        <v>35967.513725280762</v>
      </c>
      <c r="E82" s="17">
        <f t="shared" si="14"/>
        <v>2268400.0957963467</v>
      </c>
      <c r="F82" s="17">
        <f>C39-F39-SUM($E$6:E39)</f>
        <v>0</v>
      </c>
      <c r="G82" s="17">
        <f t="shared" si="21"/>
        <v>0</v>
      </c>
      <c r="H82" s="17"/>
      <c r="I82" s="12">
        <v>14.6</v>
      </c>
      <c r="J82" s="65">
        <f t="shared" si="17"/>
        <v>1.4727272727272724</v>
      </c>
      <c r="K82" s="43">
        <f t="shared" si="18"/>
        <v>52970.338395413477</v>
      </c>
      <c r="L82" s="43">
        <f t="shared" si="19"/>
        <v>1523379.512782485</v>
      </c>
      <c r="N82" s="44">
        <v>171738.28571428545</v>
      </c>
      <c r="O82" s="17">
        <f t="shared" si="15"/>
        <v>3239018.2857142705</v>
      </c>
      <c r="P82" s="58">
        <f t="shared" si="16"/>
        <v>1</v>
      </c>
      <c r="Q82" s="17">
        <f t="shared" si="11"/>
        <v>2268400.0957963467</v>
      </c>
      <c r="R82" s="4">
        <f t="shared" si="20"/>
        <v>35967.513725280762</v>
      </c>
      <c r="S82" s="2"/>
      <c r="T82" s="2"/>
    </row>
    <row r="83" spans="1:20" x14ac:dyDescent="0.25">
      <c r="A83">
        <v>17</v>
      </c>
      <c r="B83" s="10">
        <v>2047</v>
      </c>
      <c r="C83" s="43">
        <f t="shared" si="22"/>
        <v>2304091.3222073317</v>
      </c>
      <c r="D83" s="56">
        <f t="shared" si="13"/>
        <v>35691.226410984993</v>
      </c>
      <c r="E83" s="17">
        <f t="shared" si="14"/>
        <v>2304091.3222073317</v>
      </c>
      <c r="F83" s="17">
        <f>C40-F40-SUM($E$6:E40)</f>
        <v>0</v>
      </c>
      <c r="G83" s="17">
        <f t="shared" si="21"/>
        <v>0</v>
      </c>
      <c r="H83" s="17"/>
      <c r="I83" s="12">
        <v>14.6</v>
      </c>
      <c r="J83" s="65">
        <f t="shared" si="17"/>
        <v>1.5272727272727271</v>
      </c>
      <c r="K83" s="43">
        <f t="shared" si="18"/>
        <v>54510.236700413436</v>
      </c>
      <c r="L83" s="43">
        <f t="shared" si="19"/>
        <v>1577889.7494828985</v>
      </c>
      <c r="N83" s="44">
        <v>176027.42857142724</v>
      </c>
      <c r="O83" s="17">
        <f t="shared" si="15"/>
        <v>3415045.7142856978</v>
      </c>
      <c r="P83" s="58">
        <f t="shared" si="16"/>
        <v>1</v>
      </c>
      <c r="Q83" s="17">
        <f t="shared" si="11"/>
        <v>2304091.3222073317</v>
      </c>
      <c r="R83" s="4">
        <f t="shared" si="20"/>
        <v>35691.226410984993</v>
      </c>
      <c r="S83" s="2"/>
      <c r="T83" s="2"/>
    </row>
    <row r="84" spans="1:20" x14ac:dyDescent="0.25">
      <c r="A84">
        <v>18</v>
      </c>
      <c r="B84" s="10">
        <v>2048</v>
      </c>
      <c r="C84" s="43">
        <f t="shared" si="22"/>
        <v>2339506.2613042593</v>
      </c>
      <c r="D84" s="56">
        <f t="shared" si="13"/>
        <v>35414.939096927643</v>
      </c>
      <c r="E84" s="17">
        <f t="shared" si="14"/>
        <v>2339506.2613042593</v>
      </c>
      <c r="F84" s="17">
        <f>C41-F41-SUM($E$6:E41)</f>
        <v>0</v>
      </c>
      <c r="G84" s="17">
        <f t="shared" si="21"/>
        <v>0</v>
      </c>
      <c r="H84" s="17"/>
      <c r="I84" s="12">
        <v>14.6</v>
      </c>
      <c r="J84" s="65">
        <f t="shared" si="17"/>
        <v>1.5818181818181816</v>
      </c>
      <c r="K84" s="43">
        <f t="shared" si="18"/>
        <v>56019.994571503717</v>
      </c>
      <c r="L84" s="43">
        <f t="shared" si="19"/>
        <v>1633909.7440544022</v>
      </c>
      <c r="N84" s="44">
        <v>180316.5714285709</v>
      </c>
      <c r="O84" s="17">
        <f t="shared" si="15"/>
        <v>3595362.2857142687</v>
      </c>
      <c r="P84" s="58">
        <f t="shared" si="16"/>
        <v>1</v>
      </c>
      <c r="Q84" s="17">
        <f t="shared" si="11"/>
        <v>2339506.2613042593</v>
      </c>
      <c r="R84" s="4">
        <f t="shared" si="20"/>
        <v>35414.939096927643</v>
      </c>
      <c r="S84" s="2"/>
      <c r="T84" s="2"/>
    </row>
    <row r="85" spans="1:20" x14ac:dyDescent="0.25">
      <c r="A85">
        <v>19</v>
      </c>
      <c r="B85" s="10">
        <v>2049</v>
      </c>
      <c r="C85" s="43">
        <f t="shared" si="22"/>
        <v>2374644.9130871296</v>
      </c>
      <c r="D85" s="56">
        <f t="shared" si="13"/>
        <v>35138.651782870293</v>
      </c>
      <c r="E85" s="17">
        <f t="shared" si="14"/>
        <v>2374644.9130871296</v>
      </c>
      <c r="F85" s="17">
        <f>C42-F42-SUM($E$6:E42)</f>
        <v>0</v>
      </c>
      <c r="G85" s="17">
        <f t="shared" si="21"/>
        <v>0</v>
      </c>
      <c r="H85" s="17"/>
      <c r="I85" s="12">
        <v>14.6</v>
      </c>
      <c r="J85" s="65">
        <f t="shared" si="17"/>
        <v>1.6363636363636362</v>
      </c>
      <c r="K85" s="43">
        <f t="shared" si="18"/>
        <v>57499.612008333199</v>
      </c>
      <c r="L85" s="43">
        <f t="shared" si="19"/>
        <v>1691409.3560627354</v>
      </c>
      <c r="N85" s="44">
        <v>184605.71428571455</v>
      </c>
      <c r="O85" s="17">
        <f t="shared" si="15"/>
        <v>3779967.9999999832</v>
      </c>
      <c r="P85" s="58">
        <f t="shared" si="16"/>
        <v>1</v>
      </c>
      <c r="Q85" s="17">
        <f t="shared" si="11"/>
        <v>2374644.9130871296</v>
      </c>
      <c r="R85" s="4">
        <f t="shared" si="20"/>
        <v>35138.651782870293</v>
      </c>
      <c r="S85" s="2"/>
      <c r="T85" s="2"/>
    </row>
    <row r="86" spans="1:20" x14ac:dyDescent="0.25">
      <c r="A86">
        <v>20</v>
      </c>
      <c r="B86" s="10">
        <v>2050</v>
      </c>
      <c r="C86" s="43">
        <f t="shared" si="22"/>
        <v>2409507.2775554657</v>
      </c>
      <c r="D86" s="56">
        <f t="shared" si="13"/>
        <v>34862.364468336105</v>
      </c>
      <c r="E86" s="17">
        <f t="shared" si="14"/>
        <v>2409507.2775554657</v>
      </c>
      <c r="F86" s="17">
        <f>C43-F43-SUM($E$6:E43)</f>
        <v>0</v>
      </c>
      <c r="G86" s="17">
        <f t="shared" si="21"/>
        <v>0</v>
      </c>
      <c r="H86" s="17"/>
      <c r="I86" s="12">
        <v>14.6</v>
      </c>
      <c r="J86" s="65">
        <f t="shared" si="17"/>
        <v>1.6909090909090907</v>
      </c>
      <c r="K86" s="43">
        <f t="shared" si="18"/>
        <v>58949.089010095588</v>
      </c>
      <c r="L86" s="43">
        <f t="shared" si="19"/>
        <v>1750358.4450728311</v>
      </c>
      <c r="N86" s="44">
        <v>188894.85714285634</v>
      </c>
      <c r="O86" s="17">
        <f t="shared" si="15"/>
        <v>3968862.8571428396</v>
      </c>
      <c r="P86" s="58">
        <f t="shared" si="16"/>
        <v>1</v>
      </c>
      <c r="Q86" s="17">
        <f t="shared" si="11"/>
        <v>2409507.2775554657</v>
      </c>
      <c r="R86" s="4">
        <f t="shared" si="20"/>
        <v>34862.364468336105</v>
      </c>
      <c r="S86" s="2"/>
      <c r="T86" s="2"/>
    </row>
    <row r="87" spans="1:20" x14ac:dyDescent="0.25">
      <c r="B87" t="s">
        <v>23</v>
      </c>
      <c r="C87" t="s">
        <v>24</v>
      </c>
      <c r="D87" t="s">
        <v>25</v>
      </c>
      <c r="E87" t="s">
        <v>27</v>
      </c>
      <c r="N87" t="s">
        <v>56</v>
      </c>
      <c r="O87" s="2"/>
      <c r="P87" t="s">
        <v>67</v>
      </c>
      <c r="R87" s="2" t="s">
        <v>68</v>
      </c>
      <c r="S87" s="2"/>
    </row>
    <row r="88" spans="1:20" x14ac:dyDescent="0.25">
      <c r="B88" t="s">
        <v>31</v>
      </c>
      <c r="C88" t="s">
        <v>66</v>
      </c>
    </row>
    <row r="90" spans="1:20" x14ac:dyDescent="0.25">
      <c r="B90" s="68" t="s">
        <v>13</v>
      </c>
      <c r="C90" s="68"/>
      <c r="D90" s="68"/>
      <c r="E90" s="68"/>
      <c r="F90" s="68"/>
      <c r="G90" s="68"/>
      <c r="H90" s="68"/>
      <c r="I90" s="68"/>
      <c r="J90" s="68"/>
      <c r="K90" s="68"/>
      <c r="L90" s="51"/>
    </row>
    <row r="91" spans="1:20" ht="54" x14ac:dyDescent="0.25">
      <c r="B91" s="9" t="s">
        <v>0</v>
      </c>
      <c r="C91" s="19" t="s">
        <v>30</v>
      </c>
      <c r="D91" s="9" t="s">
        <v>1</v>
      </c>
      <c r="E91" s="16" t="s">
        <v>6</v>
      </c>
      <c r="F91" s="16" t="s">
        <v>19</v>
      </c>
      <c r="G91" s="9" t="s">
        <v>14</v>
      </c>
      <c r="H91" s="9" t="s">
        <v>15</v>
      </c>
      <c r="I91" s="16" t="s">
        <v>18</v>
      </c>
      <c r="J91" s="16" t="s">
        <v>16</v>
      </c>
      <c r="K91" s="16" t="s">
        <v>12</v>
      </c>
      <c r="L91" s="52"/>
    </row>
    <row r="92" spans="1:20" x14ac:dyDescent="0.25">
      <c r="B92" s="10">
        <v>2013</v>
      </c>
      <c r="C92" s="11">
        <v>4488.9048500498293</v>
      </c>
      <c r="D92" s="11">
        <v>1073183.6651212492</v>
      </c>
      <c r="E92" s="17">
        <f t="shared" ref="E92:E109" si="23">F49</f>
        <v>1073183.6651212492</v>
      </c>
      <c r="F92" s="17"/>
      <c r="G92" s="21">
        <v>14.6</v>
      </c>
      <c r="H92" s="21"/>
      <c r="I92" s="17"/>
      <c r="J92" s="17"/>
      <c r="K92" s="31">
        <v>6.1068774097789651E-2</v>
      </c>
      <c r="L92" s="53"/>
    </row>
    <row r="93" spans="1:20" x14ac:dyDescent="0.25">
      <c r="B93" s="10">
        <v>2014</v>
      </c>
      <c r="C93" s="11">
        <v>4409.1759291458902</v>
      </c>
      <c r="D93" s="11">
        <v>976651.16433813574</v>
      </c>
      <c r="E93" s="17">
        <f t="shared" si="23"/>
        <v>976651.16433813574</v>
      </c>
      <c r="F93" s="17"/>
      <c r="G93" s="21">
        <v>14.6</v>
      </c>
      <c r="H93" s="21"/>
      <c r="I93" s="17"/>
      <c r="J93" s="17"/>
      <c r="K93" s="31">
        <v>6.5912959423086767E-2</v>
      </c>
      <c r="L93" s="53"/>
    </row>
    <row r="94" spans="1:20" x14ac:dyDescent="0.25">
      <c r="B94" s="10">
        <v>2015</v>
      </c>
      <c r="C94" s="11">
        <v>4697.8044143992256</v>
      </c>
      <c r="D94" s="11">
        <v>1019571.4085290028</v>
      </c>
      <c r="E94" s="17">
        <f t="shared" si="23"/>
        <v>1019571.4085290028</v>
      </c>
      <c r="F94" s="17"/>
      <c r="G94" s="21">
        <v>14.6</v>
      </c>
      <c r="H94" s="21"/>
      <c r="I94" s="17"/>
      <c r="J94" s="17"/>
      <c r="K94" s="31">
        <v>6.7271349389038532E-2</v>
      </c>
      <c r="L94" s="53"/>
    </row>
    <row r="95" spans="1:20" x14ac:dyDescent="0.25">
      <c r="B95" s="10">
        <v>2016</v>
      </c>
      <c r="C95" s="11">
        <v>4861.015568828896</v>
      </c>
      <c r="D95" s="11">
        <v>1117970.6924468274</v>
      </c>
      <c r="E95" s="17">
        <f t="shared" si="23"/>
        <v>1117970.6924468274</v>
      </c>
      <c r="F95" s="17"/>
      <c r="G95" s="21">
        <v>14.6</v>
      </c>
      <c r="H95" s="21"/>
      <c r="I95" s="17"/>
      <c r="J95" s="17"/>
      <c r="K95" s="31">
        <v>6.3481831665526761E-2</v>
      </c>
      <c r="L95" s="53"/>
    </row>
    <row r="96" spans="1:20" x14ac:dyDescent="0.25">
      <c r="B96" s="10">
        <v>2017</v>
      </c>
      <c r="C96" s="11">
        <v>4774.6817019902828</v>
      </c>
      <c r="D96" s="11">
        <v>1053030.9082251894</v>
      </c>
      <c r="E96" s="17">
        <f t="shared" si="23"/>
        <v>1053030.9082251894</v>
      </c>
      <c r="F96" s="17"/>
      <c r="G96" s="21">
        <v>14.6</v>
      </c>
      <c r="H96" s="21">
        <v>14.6</v>
      </c>
      <c r="I96" s="17">
        <f>F96*K96/H96</f>
        <v>0</v>
      </c>
      <c r="J96" s="17"/>
      <c r="K96" s="31">
        <v>6.6199721493977889E-2</v>
      </c>
      <c r="L96" s="53"/>
    </row>
    <row r="97" spans="1:16" x14ac:dyDescent="0.25">
      <c r="A97" s="3" t="s">
        <v>3</v>
      </c>
      <c r="B97" s="10">
        <v>2018</v>
      </c>
      <c r="C97" s="11">
        <v>4784.7519434793039</v>
      </c>
      <c r="D97" s="11">
        <v>1166385.7116395417</v>
      </c>
      <c r="E97" s="17">
        <f t="shared" si="23"/>
        <v>1114743.4259252562</v>
      </c>
      <c r="F97" s="17">
        <f t="shared" ref="F97:F109" si="24">D11</f>
        <v>51443.285714285448</v>
      </c>
      <c r="G97" s="21">
        <v>14.6</v>
      </c>
      <c r="H97" s="21">
        <v>16.155472</v>
      </c>
      <c r="I97" s="17">
        <f t="shared" ref="I97:I129" si="25">F97*K97/H97</f>
        <v>190.7124919777599</v>
      </c>
      <c r="J97" s="20">
        <f>J96+I96</f>
        <v>0</v>
      </c>
      <c r="K97" s="22">
        <v>5.9892176042350614E-2</v>
      </c>
      <c r="L97" s="35"/>
      <c r="M97" s="2">
        <f t="shared" ref="M97:M105" si="26">E97*K97/G97</f>
        <v>4572.9047607923612</v>
      </c>
      <c r="N97" s="2">
        <f t="shared" ref="N97:N105" si="27">F97*K97/H97</f>
        <v>190.7124919777599</v>
      </c>
      <c r="O97" s="2">
        <f>M97+SUM($N$97:N97)</f>
        <v>4763.617252770121</v>
      </c>
      <c r="P97" s="2">
        <f>O97-M97</f>
        <v>190.71249197775978</v>
      </c>
    </row>
    <row r="98" spans="1:16" x14ac:dyDescent="0.25">
      <c r="B98" s="10">
        <v>2019</v>
      </c>
      <c r="C98" s="11">
        <v>4809.2963508437269</v>
      </c>
      <c r="D98" s="11">
        <v>1206991.5861911501</v>
      </c>
      <c r="E98" s="17">
        <f t="shared" si="23"/>
        <v>1099417.8719054374</v>
      </c>
      <c r="F98" s="17">
        <f t="shared" si="24"/>
        <v>55651.428571427241</v>
      </c>
      <c r="G98" s="21">
        <v>14.6</v>
      </c>
      <c r="H98" s="21">
        <v>16.750673599999999</v>
      </c>
      <c r="I98" s="17">
        <f t="shared" si="25"/>
        <v>193.01920707600496</v>
      </c>
      <c r="J98" s="20">
        <f t="shared" ref="J98:J129" si="28">J97+I97</f>
        <v>190.7124919777599</v>
      </c>
      <c r="K98" s="22">
        <v>5.8097371788241418E-2</v>
      </c>
      <c r="L98" s="35"/>
      <c r="M98" s="2">
        <f t="shared" si="26"/>
        <v>4374.8827982689982</v>
      </c>
      <c r="N98" s="2">
        <f t="shared" si="27"/>
        <v>193.01920707600496</v>
      </c>
      <c r="O98" s="2">
        <f>M98+SUM($N$97:N98)</f>
        <v>4758.6144973227629</v>
      </c>
      <c r="P98" s="2">
        <f t="shared" ref="P98:P109" si="29">O98-M98</f>
        <v>383.73169905376471</v>
      </c>
    </row>
    <row r="99" spans="1:16" s="14" customFormat="1" x14ac:dyDescent="0.25">
      <c r="B99" s="10">
        <v>2020</v>
      </c>
      <c r="C99" s="11">
        <v>4845.536453345142</v>
      </c>
      <c r="D99" s="11">
        <v>1247784.1313553418</v>
      </c>
      <c r="E99" s="17">
        <f t="shared" si="23"/>
        <v>1079989.8456410582</v>
      </c>
      <c r="F99" s="17">
        <f t="shared" si="24"/>
        <v>56935.812987012483</v>
      </c>
      <c r="G99" s="21">
        <v>14.6</v>
      </c>
      <c r="H99" s="21">
        <v>17.3883896</v>
      </c>
      <c r="I99" s="17">
        <f t="shared" si="25"/>
        <v>184.94524647582293</v>
      </c>
      <c r="J99" s="20">
        <f t="shared" si="28"/>
        <v>383.73169905376483</v>
      </c>
      <c r="K99" s="22">
        <v>5.6482902968702828E-2</v>
      </c>
      <c r="L99" s="35"/>
      <c r="M99" s="8">
        <f t="shared" si="26"/>
        <v>4178.1480588033037</v>
      </c>
      <c r="N99" s="8">
        <f t="shared" si="27"/>
        <v>184.94524647582293</v>
      </c>
      <c r="O99" s="8">
        <f>M99+SUM($N$97:N99)</f>
        <v>4746.8250043328917</v>
      </c>
      <c r="P99" s="8">
        <f t="shared" si="29"/>
        <v>568.67694552958801</v>
      </c>
    </row>
    <row r="100" spans="1:16" x14ac:dyDescent="0.25">
      <c r="B100" s="10">
        <v>2021</v>
      </c>
      <c r="C100" s="11">
        <v>4893.1151305214926</v>
      </c>
      <c r="D100" s="11">
        <v>1288748.2711188961</v>
      </c>
      <c r="E100" s="17">
        <f t="shared" si="23"/>
        <v>1056444.2711188979</v>
      </c>
      <c r="F100" s="17">
        <f t="shared" si="24"/>
        <v>57472.290909091149</v>
      </c>
      <c r="G100" s="21">
        <v>14.6</v>
      </c>
      <c r="H100" s="21">
        <v>18.153648800000003</v>
      </c>
      <c r="I100" s="17">
        <f t="shared" si="25"/>
        <v>174.24529466383947</v>
      </c>
      <c r="J100" s="20">
        <f t="shared" si="28"/>
        <v>568.67694552958778</v>
      </c>
      <c r="K100" s="22">
        <v>5.5038486100777537E-2</v>
      </c>
      <c r="L100" s="35"/>
      <c r="M100" s="2">
        <f t="shared" si="26"/>
        <v>3982.5406391933921</v>
      </c>
      <c r="N100" s="2">
        <f t="shared" si="27"/>
        <v>174.24529466383947</v>
      </c>
      <c r="O100" s="2">
        <f>M100+SUM($N$97:N100)</f>
        <v>4725.4628793868196</v>
      </c>
      <c r="P100" s="2">
        <f t="shared" si="29"/>
        <v>742.92224019342757</v>
      </c>
    </row>
    <row r="101" spans="1:16" x14ac:dyDescent="0.25">
      <c r="B101" s="10">
        <v>2022</v>
      </c>
      <c r="C101" s="11">
        <v>4952.0423023853336</v>
      </c>
      <c r="D101" s="11">
        <v>1329857.3224403893</v>
      </c>
      <c r="E101" s="17">
        <f t="shared" si="23"/>
        <v>1028754.4652975346</v>
      </c>
      <c r="F101" s="17">
        <f t="shared" si="24"/>
        <v>57540.862337661674</v>
      </c>
      <c r="G101" s="21">
        <v>14.6</v>
      </c>
      <c r="H101" s="21">
        <v>19.003936800000002</v>
      </c>
      <c r="I101" s="17">
        <f t="shared" si="25"/>
        <v>162.7792862563908</v>
      </c>
      <c r="J101" s="20">
        <f t="shared" si="28"/>
        <v>742.92224019342723</v>
      </c>
      <c r="K101" s="22">
        <v>5.3760877795201813E-2</v>
      </c>
      <c r="L101" s="35"/>
      <c r="M101" s="2">
        <f t="shared" si="26"/>
        <v>3788.1330883649962</v>
      </c>
      <c r="N101" s="2">
        <f t="shared" si="27"/>
        <v>162.7792862563908</v>
      </c>
      <c r="O101" s="2">
        <f>M101+SUM($N$97:N101)</f>
        <v>4693.8346148148139</v>
      </c>
      <c r="P101" s="2">
        <f t="shared" si="29"/>
        <v>905.70152644981772</v>
      </c>
    </row>
    <row r="102" spans="1:16" x14ac:dyDescent="0.25">
      <c r="B102" s="10">
        <v>2023</v>
      </c>
      <c r="C102" s="11">
        <v>5022.1493287186813</v>
      </c>
      <c r="D102" s="11">
        <v>1371090.8945916586</v>
      </c>
      <c r="E102" s="17">
        <f t="shared" si="23"/>
        <v>996900.03744880413</v>
      </c>
      <c r="F102" s="17">
        <f t="shared" si="24"/>
        <v>57141.527272727275</v>
      </c>
      <c r="G102" s="21">
        <v>14.6</v>
      </c>
      <c r="H102" s="21">
        <v>19.896739199999999</v>
      </c>
      <c r="I102" s="17">
        <f t="shared" si="25"/>
        <v>151.19350054066317</v>
      </c>
      <c r="J102" s="20">
        <f>J101+I101</f>
        <v>905.70152644981806</v>
      </c>
      <c r="K102" s="22">
        <v>5.2645734067182107E-2</v>
      </c>
      <c r="L102" s="35"/>
      <c r="M102" s="2">
        <f t="shared" si="26"/>
        <v>3594.6941276091529</v>
      </c>
      <c r="N102" s="2">
        <f t="shared" si="27"/>
        <v>151.19350054066317</v>
      </c>
      <c r="O102" s="2">
        <f>M102+SUM($N$97:N102)</f>
        <v>4651.5891545996346</v>
      </c>
      <c r="P102" s="2">
        <f t="shared" si="29"/>
        <v>1056.8950269904817</v>
      </c>
    </row>
    <row r="103" spans="1:16" x14ac:dyDescent="0.25">
      <c r="B103" s="10">
        <v>2024</v>
      </c>
      <c r="C103" s="11">
        <v>5103.1187691104178</v>
      </c>
      <c r="D103" s="11">
        <v>1412434.5035978679</v>
      </c>
      <c r="E103" s="17">
        <f t="shared" si="23"/>
        <v>960866.50359787163</v>
      </c>
      <c r="F103" s="17">
        <f t="shared" si="24"/>
        <v>56274.285714284939</v>
      </c>
      <c r="G103" s="21">
        <v>14.6</v>
      </c>
      <c r="H103" s="21">
        <v>20.832056000000001</v>
      </c>
      <c r="I103" s="17">
        <f t="shared" si="25"/>
        <v>139.62628541081367</v>
      </c>
      <c r="J103" s="20">
        <f t="shared" si="28"/>
        <v>1056.8950269904813</v>
      </c>
      <c r="K103" s="22">
        <v>5.1687952318365801E-2</v>
      </c>
      <c r="L103" s="35"/>
      <c r="M103" s="2">
        <f t="shared" si="26"/>
        <v>3401.7275357727162</v>
      </c>
      <c r="N103" s="2">
        <f t="shared" si="27"/>
        <v>139.62628541081367</v>
      </c>
      <c r="O103" s="2">
        <f>M103+SUM($N$97:N103)</f>
        <v>4598.2488481740111</v>
      </c>
      <c r="P103" s="2">
        <f t="shared" si="29"/>
        <v>1196.5213124012948</v>
      </c>
    </row>
    <row r="104" spans="1:16" x14ac:dyDescent="0.25">
      <c r="B104" s="10">
        <v>2025</v>
      </c>
      <c r="C104" s="11">
        <v>5195.5160642926385</v>
      </c>
      <c r="D104" s="11">
        <v>1453842.0175012546</v>
      </c>
      <c r="E104" s="17">
        <f t="shared" si="23"/>
        <v>920607.73178697273</v>
      </c>
      <c r="F104" s="17">
        <f t="shared" si="24"/>
        <v>54939.137662337482</v>
      </c>
      <c r="G104" s="21">
        <v>14.6</v>
      </c>
      <c r="H104" s="21">
        <v>21.809887199999999</v>
      </c>
      <c r="I104" s="17">
        <f t="shared" si="25"/>
        <v>128.21334156979694</v>
      </c>
      <c r="J104" s="20">
        <f t="shared" si="28"/>
        <v>1196.5213124012948</v>
      </c>
      <c r="K104" s="22">
        <v>5.089847850104328E-2</v>
      </c>
      <c r="L104" s="35"/>
      <c r="M104" s="2">
        <f t="shared" si="26"/>
        <v>3209.4200578255791</v>
      </c>
      <c r="N104" s="2">
        <f t="shared" si="27"/>
        <v>128.21334156979694</v>
      </c>
      <c r="O104" s="2">
        <f>M104+SUM($N$97:N104)</f>
        <v>4534.1547117966711</v>
      </c>
      <c r="P104" s="2">
        <f t="shared" si="29"/>
        <v>1324.734653971092</v>
      </c>
    </row>
    <row r="105" spans="1:16" x14ac:dyDescent="0.25">
      <c r="B105" s="10">
        <v>2026</v>
      </c>
      <c r="C105" s="11">
        <v>5299.0832939312513</v>
      </c>
      <c r="D105" s="11">
        <v>1495296.6218874408</v>
      </c>
      <c r="E105" s="17">
        <f t="shared" si="23"/>
        <v>876106.90760173171</v>
      </c>
      <c r="F105" s="17">
        <f t="shared" si="24"/>
        <v>53136.083116882299</v>
      </c>
      <c r="G105" s="21">
        <v>14.6</v>
      </c>
      <c r="H105" s="21">
        <v>21.809887199999999</v>
      </c>
      <c r="I105" s="17">
        <f t="shared" si="25"/>
        <v>122.49138088143791</v>
      </c>
      <c r="J105" s="20">
        <f t="shared" si="28"/>
        <v>1324.7346539710918</v>
      </c>
      <c r="K105" s="22">
        <v>5.0277006570467471E-2</v>
      </c>
      <c r="L105" s="35"/>
      <c r="M105" s="2">
        <f t="shared" si="26"/>
        <v>3016.9885445153564</v>
      </c>
      <c r="N105" s="2">
        <f t="shared" si="27"/>
        <v>122.49138088143791</v>
      </c>
      <c r="O105" s="2">
        <f>M105+SUM($N$97:N105)</f>
        <v>4464.2145793678865</v>
      </c>
      <c r="P105" s="2">
        <f t="shared" si="29"/>
        <v>1447.2260348525301</v>
      </c>
    </row>
    <row r="106" spans="1:16" x14ac:dyDescent="0.25">
      <c r="B106" s="10">
        <v>2027</v>
      </c>
      <c r="C106" s="11">
        <v>5413.8700580907316</v>
      </c>
      <c r="D106" s="11">
        <v>1536770.45903657</v>
      </c>
      <c r="E106" s="17">
        <f t="shared" si="23"/>
        <v>827336.17332229007</v>
      </c>
      <c r="F106" s="17">
        <f t="shared" si="24"/>
        <v>50865.122077921777</v>
      </c>
      <c r="G106" s="21">
        <v>14.6</v>
      </c>
      <c r="H106" s="21">
        <v>21.809887199999999</v>
      </c>
      <c r="I106" s="17">
        <f t="shared" si="25"/>
        <v>116.21597547157366</v>
      </c>
      <c r="J106" s="20">
        <f t="shared" si="28"/>
        <v>1447.2260348525297</v>
      </c>
      <c r="K106" s="22">
        <v>4.9830949230596E-2</v>
      </c>
      <c r="L106" s="35"/>
      <c r="M106" s="2">
        <f>E106*K106/G106</f>
        <v>2823.7634828396308</v>
      </c>
      <c r="N106" s="2">
        <f>F106*K106/H106</f>
        <v>116.21597547157366</v>
      </c>
      <c r="O106" s="2">
        <f>M106+SUM($N$97:N106)</f>
        <v>4387.205493163734</v>
      </c>
      <c r="P106" s="2">
        <f t="shared" si="29"/>
        <v>1563.4420103241032</v>
      </c>
    </row>
    <row r="107" spans="1:16" x14ac:dyDescent="0.25">
      <c r="B107" s="10">
        <v>2028</v>
      </c>
      <c r="C107" s="11">
        <v>5539.9656368863471</v>
      </c>
      <c r="D107" s="11">
        <v>1578233.9588539612</v>
      </c>
      <c r="E107" s="17">
        <f t="shared" si="23"/>
        <v>774265.95885396679</v>
      </c>
      <c r="F107" s="17">
        <f t="shared" si="24"/>
        <v>48126.254545454685</v>
      </c>
      <c r="G107" s="21">
        <v>14.6</v>
      </c>
      <c r="H107" s="21">
        <v>21.809887199999999</v>
      </c>
      <c r="I107" s="17">
        <f t="shared" si="25"/>
        <v>109.38634671762564</v>
      </c>
      <c r="J107" s="20">
        <f t="shared" si="28"/>
        <v>1563.4420103241034</v>
      </c>
      <c r="K107" s="22">
        <v>4.9571775440746917E-2</v>
      </c>
      <c r="L107" s="35"/>
      <c r="M107" s="2">
        <f t="shared" ref="M107:M109" si="30">E107*K107/G107</f>
        <v>2628.8861810769477</v>
      </c>
      <c r="N107" s="2">
        <f t="shared" ref="N107:N109" si="31">F107*K107/H107</f>
        <v>109.38634671762564</v>
      </c>
      <c r="O107" s="2">
        <f>M107+SUM($N$97:N107)</f>
        <v>4301.7145381186765</v>
      </c>
      <c r="P107" s="2">
        <f t="shared" si="29"/>
        <v>1672.8283570417289</v>
      </c>
    </row>
    <row r="108" spans="1:16" x14ac:dyDescent="0.25">
      <c r="B108" s="10">
        <v>2029</v>
      </c>
      <c r="C108" s="11">
        <v>5677.2013900999818</v>
      </c>
      <c r="D108" s="11">
        <v>1619667.6062884759</v>
      </c>
      <c r="E108" s="17">
        <f t="shared" si="23"/>
        <v>716876.74914562504</v>
      </c>
      <c r="F108" s="17">
        <f t="shared" si="24"/>
        <v>44919.480519480159</v>
      </c>
      <c r="G108" s="21">
        <v>14.6</v>
      </c>
      <c r="H108" s="21">
        <v>21.809887199999999</v>
      </c>
      <c r="I108" s="17">
        <f t="shared" si="25"/>
        <v>101.97065976652971</v>
      </c>
      <c r="J108" s="20">
        <f t="shared" si="28"/>
        <v>1672.8283570417291</v>
      </c>
      <c r="K108" s="22">
        <v>4.9510113685600751E-2</v>
      </c>
      <c r="L108" s="35"/>
      <c r="M108" s="2">
        <f t="shared" si="30"/>
        <v>2431.0033800523142</v>
      </c>
      <c r="N108" s="2">
        <f t="shared" si="31"/>
        <v>101.97065976652971</v>
      </c>
      <c r="O108" s="2">
        <f>M108+SUM($N$97:N108)</f>
        <v>4205.802396860573</v>
      </c>
      <c r="P108" s="2">
        <f t="shared" si="29"/>
        <v>1774.7990168082588</v>
      </c>
    </row>
    <row r="109" spans="1:16" x14ac:dyDescent="0.25">
      <c r="B109" s="10">
        <v>2030</v>
      </c>
      <c r="C109" s="11">
        <v>5826.0534783480334</v>
      </c>
      <c r="D109" s="11">
        <v>1661026.0804002865</v>
      </c>
      <c r="E109" s="17">
        <f t="shared" si="23"/>
        <v>655123.2232574356</v>
      </c>
      <c r="F109" s="17">
        <f t="shared" si="24"/>
        <v>41244.800000000003</v>
      </c>
      <c r="G109" s="21">
        <v>14.6</v>
      </c>
      <c r="H109" s="21">
        <v>21.809887199999999</v>
      </c>
      <c r="I109" s="17">
        <f t="shared" si="25"/>
        <v>93.942055614568972</v>
      </c>
      <c r="J109" s="20">
        <f t="shared" si="28"/>
        <v>1774.7990168082588</v>
      </c>
      <c r="K109" s="22">
        <v>4.9675732123561661E-2</v>
      </c>
      <c r="L109" s="35"/>
      <c r="M109" s="2">
        <f t="shared" si="30"/>
        <v>2229.0223114014148</v>
      </c>
      <c r="N109" s="2">
        <f t="shared" si="31"/>
        <v>93.942055614568972</v>
      </c>
      <c r="O109" s="2">
        <f>M109+SUM($N$97:N109)</f>
        <v>4097.7633838242427</v>
      </c>
      <c r="P109" s="2">
        <f t="shared" si="29"/>
        <v>1868.741072422828</v>
      </c>
    </row>
    <row r="110" spans="1:16" x14ac:dyDescent="0.25">
      <c r="A110">
        <v>1</v>
      </c>
      <c r="B110" s="10">
        <v>2031</v>
      </c>
      <c r="D110" s="43">
        <f>C152</f>
        <v>1699877.2219293118</v>
      </c>
      <c r="E110" s="17">
        <f t="shared" ref="E110:E129" si="32">F67</f>
        <v>586573.22192931885</v>
      </c>
      <c r="F110" s="17">
        <f t="shared" ref="F110:F129" si="33">D24</f>
        <v>37102.212987012696</v>
      </c>
      <c r="G110" s="21">
        <v>14.6</v>
      </c>
      <c r="H110" s="21">
        <v>21.809887199999999</v>
      </c>
      <c r="I110" s="17">
        <f t="shared" si="25"/>
        <v>84.506608247573752</v>
      </c>
      <c r="J110" s="20">
        <f t="shared" si="28"/>
        <v>1868.7410724228278</v>
      </c>
      <c r="K110" s="47">
        <f>K109</f>
        <v>4.9675732123561661E-2</v>
      </c>
      <c r="L110" s="47"/>
    </row>
    <row r="111" spans="1:16" x14ac:dyDescent="0.25">
      <c r="A111">
        <v>2</v>
      </c>
      <c r="B111" s="10">
        <v>2032</v>
      </c>
      <c r="D111" s="43">
        <f t="shared" ref="D111:D129" si="34">C153</f>
        <v>1739712.7580529451</v>
      </c>
      <c r="E111" s="17">
        <f t="shared" si="32"/>
        <v>514718.47233866679</v>
      </c>
      <c r="F111" s="17">
        <f t="shared" si="33"/>
        <v>32491.719480519401</v>
      </c>
      <c r="G111" s="21">
        <v>14.6</v>
      </c>
      <c r="H111" s="21">
        <v>21.809887199999999</v>
      </c>
      <c r="I111" s="17">
        <f t="shared" si="25"/>
        <v>74.005424161395567</v>
      </c>
      <c r="J111" s="20">
        <f t="shared" si="28"/>
        <v>1953.2476806704015</v>
      </c>
      <c r="K111" s="47">
        <f t="shared" ref="K111:K129" si="35">K110</f>
        <v>4.9675732123561661E-2</v>
      </c>
      <c r="L111" s="47"/>
    </row>
    <row r="112" spans="1:16" x14ac:dyDescent="0.25">
      <c r="A112">
        <v>3</v>
      </c>
      <c r="B112" s="10">
        <v>2033</v>
      </c>
      <c r="D112" s="43">
        <f t="shared" si="34"/>
        <v>1779272.0068622828</v>
      </c>
      <c r="E112" s="17">
        <f t="shared" si="32"/>
        <v>438298.29257657717</v>
      </c>
      <c r="F112" s="17">
        <f t="shared" si="33"/>
        <v>27413.319480519174</v>
      </c>
      <c r="G112" s="21">
        <v>14.6</v>
      </c>
      <c r="H112" s="21">
        <v>21.809887199999999</v>
      </c>
      <c r="I112" s="17">
        <f t="shared" si="25"/>
        <v>62.438503356032271</v>
      </c>
      <c r="J112" s="20">
        <f t="shared" si="28"/>
        <v>2027.2531048317969</v>
      </c>
      <c r="K112" s="47">
        <f t="shared" si="35"/>
        <v>4.9675732123561661E-2</v>
      </c>
      <c r="L112" s="47"/>
    </row>
    <row r="113" spans="1:12" x14ac:dyDescent="0.25">
      <c r="A113">
        <v>4</v>
      </c>
      <c r="B113" s="10">
        <v>2034</v>
      </c>
      <c r="D113" s="43">
        <f t="shared" si="34"/>
        <v>1818554.9683576822</v>
      </c>
      <c r="E113" s="17">
        <f t="shared" si="32"/>
        <v>357312.68264340574</v>
      </c>
      <c r="F113" s="17">
        <f t="shared" si="33"/>
        <v>21867.012987012902</v>
      </c>
      <c r="G113" s="21">
        <v>14.6</v>
      </c>
      <c r="H113" s="21">
        <v>21.809887199999999</v>
      </c>
      <c r="I113" s="17">
        <f t="shared" si="25"/>
        <v>49.805845831485861</v>
      </c>
      <c r="J113" s="20">
        <f t="shared" si="28"/>
        <v>2089.6916081878294</v>
      </c>
      <c r="K113" s="47">
        <f t="shared" si="35"/>
        <v>4.9675732123561661E-2</v>
      </c>
      <c r="L113" s="47"/>
    </row>
    <row r="114" spans="1:12" x14ac:dyDescent="0.25">
      <c r="A114">
        <v>5</v>
      </c>
      <c r="B114" s="10">
        <v>2035</v>
      </c>
      <c r="D114" s="43">
        <f t="shared" si="34"/>
        <v>1857561.6425389051</v>
      </c>
      <c r="E114" s="17">
        <f t="shared" si="32"/>
        <v>271761.64253891411</v>
      </c>
      <c r="F114" s="17">
        <f t="shared" si="33"/>
        <v>15852.800000000032</v>
      </c>
      <c r="G114" s="21">
        <v>14.6</v>
      </c>
      <c r="H114" s="21">
        <v>21.809887199999999</v>
      </c>
      <c r="I114" s="17">
        <f t="shared" si="25"/>
        <v>36.107451587755115</v>
      </c>
      <c r="J114" s="20">
        <f t="shared" si="28"/>
        <v>2139.4974540193152</v>
      </c>
      <c r="K114" s="47">
        <f t="shared" si="35"/>
        <v>4.9675732123561661E-2</v>
      </c>
      <c r="L114" s="47"/>
    </row>
    <row r="115" spans="1:12" x14ac:dyDescent="0.25">
      <c r="A115">
        <v>6</v>
      </c>
      <c r="B115" s="10">
        <v>2036</v>
      </c>
      <c r="D115" s="43">
        <f t="shared" si="34"/>
        <v>1896292.0294060707</v>
      </c>
      <c r="E115" s="17">
        <f t="shared" si="32"/>
        <v>181645.17226322333</v>
      </c>
      <c r="F115" s="17">
        <f t="shared" si="33"/>
        <v>9370.680519480462</v>
      </c>
      <c r="G115" s="21">
        <v>14.6</v>
      </c>
      <c r="H115" s="21">
        <v>21.809887199999999</v>
      </c>
      <c r="I115" s="17">
        <f t="shared" si="25"/>
        <v>21.343320624839777</v>
      </c>
      <c r="J115" s="20">
        <f t="shared" si="28"/>
        <v>2175.6049056070701</v>
      </c>
      <c r="K115" s="47">
        <f t="shared" si="35"/>
        <v>4.9675732123561661E-2</v>
      </c>
      <c r="L115" s="47"/>
    </row>
    <row r="116" spans="1:12" x14ac:dyDescent="0.25">
      <c r="A116">
        <v>7</v>
      </c>
      <c r="B116" s="10">
        <v>2037</v>
      </c>
      <c r="D116" s="43">
        <f t="shared" si="34"/>
        <v>1934746.1289587021</v>
      </c>
      <c r="E116" s="17">
        <f t="shared" si="32"/>
        <v>86963.271815854707</v>
      </c>
      <c r="F116" s="17">
        <f t="shared" si="33"/>
        <v>2420.6545454545558</v>
      </c>
      <c r="G116" s="21">
        <v>14.6</v>
      </c>
      <c r="H116" s="21">
        <v>21.809887199999999</v>
      </c>
      <c r="I116" s="17">
        <f t="shared" si="25"/>
        <v>5.5134529427406864</v>
      </c>
      <c r="J116" s="20">
        <f t="shared" si="28"/>
        <v>2196.9482262319098</v>
      </c>
      <c r="K116" s="47">
        <f t="shared" si="35"/>
        <v>4.9675732123561661E-2</v>
      </c>
      <c r="L116" s="47"/>
    </row>
    <row r="117" spans="1:12" x14ac:dyDescent="0.25">
      <c r="A117">
        <v>8</v>
      </c>
      <c r="B117" s="10">
        <v>2038</v>
      </c>
      <c r="D117" s="43">
        <f t="shared" si="34"/>
        <v>1972923.9411973953</v>
      </c>
      <c r="E117" s="17">
        <f t="shared" si="32"/>
        <v>0</v>
      </c>
      <c r="F117" s="17">
        <f t="shared" si="33"/>
        <v>-4550.5848747108103</v>
      </c>
      <c r="G117" s="21">
        <v>14.6</v>
      </c>
      <c r="H117" s="21">
        <v>21.809887199999999</v>
      </c>
      <c r="I117" s="17">
        <f t="shared" si="25"/>
        <v>-10.364731975398094</v>
      </c>
      <c r="J117" s="20">
        <f t="shared" si="28"/>
        <v>2202.4616791746503</v>
      </c>
      <c r="K117" s="47">
        <f t="shared" si="35"/>
        <v>4.9675732123561661E-2</v>
      </c>
      <c r="L117" s="47"/>
    </row>
    <row r="118" spans="1:12" x14ac:dyDescent="0.25">
      <c r="A118">
        <v>9</v>
      </c>
      <c r="B118" s="10">
        <v>2039</v>
      </c>
      <c r="D118" s="43">
        <f t="shared" si="34"/>
        <v>2010825.466121912</v>
      </c>
      <c r="E118" s="17">
        <f t="shared" si="32"/>
        <v>0</v>
      </c>
      <c r="F118" s="17">
        <f t="shared" si="33"/>
        <v>-3445.593174956055</v>
      </c>
      <c r="G118" s="21">
        <v>14.6</v>
      </c>
      <c r="H118" s="21">
        <v>21.809887199999999</v>
      </c>
      <c r="I118" s="17">
        <f t="shared" si="25"/>
        <v>-7.8479252091633613</v>
      </c>
      <c r="J118" s="20">
        <f t="shared" si="28"/>
        <v>2192.0969471992521</v>
      </c>
      <c r="K118" s="47">
        <f t="shared" si="35"/>
        <v>4.9675732123561661E-2</v>
      </c>
      <c r="L118" s="47"/>
    </row>
    <row r="119" spans="1:12" x14ac:dyDescent="0.25">
      <c r="A119">
        <v>10</v>
      </c>
      <c r="B119" s="10">
        <v>2040</v>
      </c>
      <c r="D119" s="43">
        <f t="shared" si="34"/>
        <v>2048450.7037320137</v>
      </c>
      <c r="E119" s="17">
        <f t="shared" si="32"/>
        <v>0</v>
      </c>
      <c r="F119" s="17">
        <f t="shared" si="33"/>
        <v>-5472.7618341966008</v>
      </c>
      <c r="G119" s="21">
        <v>14.6</v>
      </c>
      <c r="H119" s="21">
        <v>21.809887199999999</v>
      </c>
      <c r="I119" s="17">
        <f t="shared" si="25"/>
        <v>-12.465147038981582</v>
      </c>
      <c r="J119" s="20">
        <f t="shared" si="28"/>
        <v>2184.2490219900887</v>
      </c>
      <c r="K119" s="47">
        <f t="shared" si="35"/>
        <v>4.9675732123561661E-2</v>
      </c>
      <c r="L119" s="47"/>
    </row>
    <row r="120" spans="1:12" x14ac:dyDescent="0.25">
      <c r="A120">
        <v>11</v>
      </c>
      <c r="B120" s="10">
        <v>2041</v>
      </c>
      <c r="D120" s="43">
        <f t="shared" si="34"/>
        <v>2085799.6540281773</v>
      </c>
      <c r="E120" s="17">
        <f t="shared" si="32"/>
        <v>0</v>
      </c>
      <c r="F120" s="17">
        <f t="shared" si="33"/>
        <v>-7469.7900592327132</v>
      </c>
      <c r="G120" s="21">
        <v>14.6</v>
      </c>
      <c r="H120" s="21">
        <v>21.809887199999999</v>
      </c>
      <c r="I120" s="17">
        <f t="shared" si="25"/>
        <v>-17.013718897257206</v>
      </c>
      <c r="J120" s="20">
        <f t="shared" si="28"/>
        <v>2171.783874951107</v>
      </c>
      <c r="K120" s="47">
        <f t="shared" si="35"/>
        <v>4.9675732123561661E-2</v>
      </c>
      <c r="L120" s="47"/>
    </row>
    <row r="121" spans="1:12" x14ac:dyDescent="0.25">
      <c r="A121">
        <v>12</v>
      </c>
      <c r="B121" s="10">
        <v>2042</v>
      </c>
      <c r="D121" s="43">
        <f t="shared" si="34"/>
        <v>2122872.3170102835</v>
      </c>
      <c r="E121" s="17">
        <f t="shared" si="32"/>
        <v>0</v>
      </c>
      <c r="F121" s="17">
        <f t="shared" si="33"/>
        <v>-9436.677849990665</v>
      </c>
      <c r="G121" s="21">
        <v>14.6</v>
      </c>
      <c r="H121" s="21">
        <v>21.809887199999999</v>
      </c>
      <c r="I121" s="17">
        <f t="shared" si="25"/>
        <v>-21.493640783822308</v>
      </c>
      <c r="J121" s="20">
        <f t="shared" si="28"/>
        <v>2154.7701560538499</v>
      </c>
      <c r="K121" s="47">
        <f t="shared" si="35"/>
        <v>4.9675732123561661E-2</v>
      </c>
      <c r="L121" s="47"/>
    </row>
    <row r="122" spans="1:12" x14ac:dyDescent="0.25">
      <c r="A122">
        <v>13</v>
      </c>
      <c r="B122" s="10">
        <v>2043</v>
      </c>
      <c r="D122" s="43">
        <f t="shared" si="34"/>
        <v>2159668.6926778555</v>
      </c>
      <c r="E122" s="17">
        <f t="shared" si="32"/>
        <v>0</v>
      </c>
      <c r="F122" s="17">
        <f t="shared" si="33"/>
        <v>-11373.425206340442</v>
      </c>
      <c r="G122" s="21">
        <v>14.6</v>
      </c>
      <c r="H122" s="21">
        <v>21.809887199999999</v>
      </c>
      <c r="I122" s="17">
        <f t="shared" si="25"/>
        <v>-25.904912698380755</v>
      </c>
      <c r="J122" s="20">
        <f t="shared" si="28"/>
        <v>2133.2765152700276</v>
      </c>
      <c r="K122" s="47">
        <f t="shared" si="35"/>
        <v>4.9675732123561661E-2</v>
      </c>
      <c r="L122" s="47"/>
    </row>
    <row r="123" spans="1:12" x14ac:dyDescent="0.25">
      <c r="A123">
        <v>14</v>
      </c>
      <c r="B123" s="10">
        <v>2044</v>
      </c>
      <c r="D123" s="43">
        <f t="shared" si="34"/>
        <v>2196188.7810314894</v>
      </c>
      <c r="E123" s="17">
        <f t="shared" si="32"/>
        <v>0</v>
      </c>
      <c r="F123" s="17">
        <f t="shared" si="33"/>
        <v>-13280.032128594132</v>
      </c>
      <c r="G123" s="21">
        <v>14.6</v>
      </c>
      <c r="H123" s="21">
        <v>21.809887199999999</v>
      </c>
      <c r="I123" s="17">
        <f t="shared" si="25"/>
        <v>-30.247534641643377</v>
      </c>
      <c r="J123" s="20">
        <f t="shared" si="28"/>
        <v>2107.3716025716467</v>
      </c>
      <c r="K123" s="47">
        <f t="shared" si="35"/>
        <v>4.9675732123561661E-2</v>
      </c>
      <c r="L123" s="47"/>
    </row>
    <row r="124" spans="1:12" x14ac:dyDescent="0.25">
      <c r="A124">
        <v>15</v>
      </c>
      <c r="B124" s="10">
        <v>2045</v>
      </c>
      <c r="D124" s="43">
        <f t="shared" si="34"/>
        <v>2232432.5820710659</v>
      </c>
      <c r="E124" s="17">
        <f t="shared" si="32"/>
        <v>0</v>
      </c>
      <c r="F124" s="17">
        <f t="shared" si="33"/>
        <v>-15156.498616550183</v>
      </c>
      <c r="G124" s="21">
        <v>14.6</v>
      </c>
      <c r="H124" s="21">
        <v>21.809887199999999</v>
      </c>
      <c r="I124" s="17">
        <f t="shared" si="25"/>
        <v>-34.521506613151118</v>
      </c>
      <c r="J124" s="20">
        <f t="shared" si="28"/>
        <v>2077.1240679300031</v>
      </c>
      <c r="K124" s="47">
        <f t="shared" si="35"/>
        <v>4.9675732123561661E-2</v>
      </c>
      <c r="L124" s="47"/>
    </row>
    <row r="125" spans="1:12" x14ac:dyDescent="0.25">
      <c r="A125">
        <v>16</v>
      </c>
      <c r="B125" s="10">
        <v>2046</v>
      </c>
      <c r="D125" s="43">
        <f t="shared" si="34"/>
        <v>2268400.0957963467</v>
      </c>
      <c r="E125" s="17">
        <f t="shared" si="32"/>
        <v>0</v>
      </c>
      <c r="F125" s="17">
        <f t="shared" si="33"/>
        <v>-17002.824670132715</v>
      </c>
      <c r="G125" s="21">
        <v>14.6</v>
      </c>
      <c r="H125" s="21">
        <v>21.809887199999999</v>
      </c>
      <c r="I125" s="17">
        <f t="shared" si="25"/>
        <v>-38.726828612731133</v>
      </c>
      <c r="J125" s="20">
        <f t="shared" si="28"/>
        <v>2042.602561316852</v>
      </c>
      <c r="K125" s="47">
        <f t="shared" si="35"/>
        <v>4.9675732123561661E-2</v>
      </c>
      <c r="L125" s="47"/>
    </row>
    <row r="126" spans="1:12" x14ac:dyDescent="0.25">
      <c r="A126">
        <v>17</v>
      </c>
      <c r="B126" s="10">
        <v>2047</v>
      </c>
      <c r="D126" s="43">
        <f t="shared" si="34"/>
        <v>2304091.3222073317</v>
      </c>
      <c r="E126" s="17">
        <f t="shared" si="32"/>
        <v>0</v>
      </c>
      <c r="F126" s="17">
        <f t="shared" si="33"/>
        <v>-18819.010289428443</v>
      </c>
      <c r="G126" s="21">
        <v>14.6</v>
      </c>
      <c r="H126" s="21">
        <v>21.809887199999999</v>
      </c>
      <c r="I126" s="17">
        <f t="shared" si="25"/>
        <v>-42.863500640580938</v>
      </c>
      <c r="J126" s="20">
        <f t="shared" si="28"/>
        <v>2003.8757327041208</v>
      </c>
      <c r="K126" s="47">
        <f t="shared" si="35"/>
        <v>4.9675732123561661E-2</v>
      </c>
      <c r="L126" s="47"/>
    </row>
    <row r="127" spans="1:12" x14ac:dyDescent="0.25">
      <c r="A127">
        <v>18</v>
      </c>
      <c r="B127" s="10">
        <v>2048</v>
      </c>
      <c r="D127" s="43">
        <f t="shared" si="34"/>
        <v>2339506.2613042593</v>
      </c>
      <c r="E127" s="17">
        <f t="shared" si="32"/>
        <v>0</v>
      </c>
      <c r="F127" s="17">
        <f t="shared" si="33"/>
        <v>-20605.055474576075</v>
      </c>
      <c r="G127" s="21">
        <v>14.6</v>
      </c>
      <c r="H127" s="21">
        <v>21.809887199999999</v>
      </c>
      <c r="I127" s="17">
        <f t="shared" si="25"/>
        <v>-46.931522697016462</v>
      </c>
      <c r="J127" s="20">
        <f t="shared" si="28"/>
        <v>1961.0122320635398</v>
      </c>
      <c r="K127" s="47">
        <f t="shared" si="35"/>
        <v>4.9675732123561661E-2</v>
      </c>
      <c r="L127" s="47"/>
    </row>
    <row r="128" spans="1:12" x14ac:dyDescent="0.25">
      <c r="A128">
        <v>19</v>
      </c>
      <c r="B128" s="10">
        <v>2049</v>
      </c>
      <c r="D128" s="43">
        <f t="shared" si="34"/>
        <v>2374644.9130871296</v>
      </c>
      <c r="E128" s="17">
        <f t="shared" si="32"/>
        <v>0</v>
      </c>
      <c r="F128" s="17">
        <f t="shared" si="33"/>
        <v>-22360.960225462906</v>
      </c>
      <c r="G128" s="21">
        <v>14.6</v>
      </c>
      <c r="H128" s="21">
        <v>21.809887199999999</v>
      </c>
      <c r="I128" s="17">
        <f t="shared" si="25"/>
        <v>-50.930894781781006</v>
      </c>
      <c r="J128" s="20">
        <f t="shared" si="28"/>
        <v>1914.0807093665235</v>
      </c>
      <c r="K128" s="47">
        <f t="shared" si="35"/>
        <v>4.9675732123561661E-2</v>
      </c>
      <c r="L128" s="47"/>
    </row>
    <row r="129" spans="1:12" x14ac:dyDescent="0.25">
      <c r="A129">
        <v>20</v>
      </c>
      <c r="B129" s="10">
        <v>2050</v>
      </c>
      <c r="D129" s="43">
        <f t="shared" si="34"/>
        <v>2409507.2775554657</v>
      </c>
      <c r="E129" s="17">
        <f t="shared" si="32"/>
        <v>0</v>
      </c>
      <c r="F129" s="17">
        <f t="shared" si="33"/>
        <v>-24086.724541759482</v>
      </c>
      <c r="G129" s="21">
        <v>14.6</v>
      </c>
      <c r="H129" s="21">
        <v>21.809887199999999</v>
      </c>
      <c r="I129" s="17">
        <f t="shared" si="25"/>
        <v>-54.861616894124182</v>
      </c>
      <c r="J129" s="20">
        <f t="shared" si="28"/>
        <v>1863.1498145847424</v>
      </c>
      <c r="K129" s="47">
        <f t="shared" si="35"/>
        <v>4.9675732123561661E-2</v>
      </c>
      <c r="L129" s="47"/>
    </row>
    <row r="130" spans="1:12" x14ac:dyDescent="0.25">
      <c r="B130" t="s">
        <v>23</v>
      </c>
      <c r="C130" t="s">
        <v>24</v>
      </c>
      <c r="D130" t="s">
        <v>25</v>
      </c>
      <c r="E130" t="s">
        <v>27</v>
      </c>
    </row>
    <row r="132" spans="1:12" x14ac:dyDescent="0.25">
      <c r="E132" s="1"/>
    </row>
    <row r="133" spans="1:12" ht="39.75" x14ac:dyDescent="0.25">
      <c r="B133" s="24" t="s">
        <v>0</v>
      </c>
      <c r="C133" s="23" t="s">
        <v>69</v>
      </c>
      <c r="D133" s="25" t="s">
        <v>5</v>
      </c>
      <c r="E133" s="25" t="s">
        <v>6</v>
      </c>
      <c r="F133" s="23" t="s">
        <v>37</v>
      </c>
      <c r="G133" s="25" t="s">
        <v>8</v>
      </c>
      <c r="H133" s="25" t="s">
        <v>7</v>
      </c>
      <c r="I133" s="25" t="s">
        <v>17</v>
      </c>
    </row>
    <row r="134" spans="1:12" x14ac:dyDescent="0.25">
      <c r="B134" s="26">
        <v>2013</v>
      </c>
      <c r="C134" s="27">
        <v>1073183.6651212492</v>
      </c>
      <c r="D134" s="28">
        <v>0</v>
      </c>
      <c r="E134" s="28">
        <f t="shared" ref="E134:E151" si="36">F49</f>
        <v>1073183.6651212492</v>
      </c>
      <c r="F134" s="27">
        <v>4488.9048500498293</v>
      </c>
      <c r="G134" s="28">
        <f t="shared" ref="G134:G151" si="37">H6</f>
        <v>0</v>
      </c>
      <c r="H134" s="28">
        <f t="shared" ref="H134:H151" si="38">G49</f>
        <v>4488.9048500498293</v>
      </c>
      <c r="I134" s="28">
        <f>G134+H134</f>
        <v>4488.9048500498293</v>
      </c>
    </row>
    <row r="135" spans="1:12" x14ac:dyDescent="0.25">
      <c r="B135" s="26">
        <v>2014</v>
      </c>
      <c r="C135" s="27">
        <v>976651.16433813574</v>
      </c>
      <c r="D135" s="28">
        <v>0</v>
      </c>
      <c r="E135" s="28">
        <f t="shared" si="36"/>
        <v>976651.16433813574</v>
      </c>
      <c r="F135" s="27">
        <v>4409.1759291458902</v>
      </c>
      <c r="G135" s="28">
        <f t="shared" si="37"/>
        <v>0</v>
      </c>
      <c r="H135" s="28">
        <f t="shared" si="38"/>
        <v>4409.1759291458893</v>
      </c>
      <c r="I135" s="28">
        <f t="shared" ref="I135:I171" si="39">G135+H135</f>
        <v>4409.1759291458893</v>
      </c>
      <c r="K135" s="2">
        <f>I135-I134</f>
        <v>-79.728920903939979</v>
      </c>
    </row>
    <row r="136" spans="1:12" x14ac:dyDescent="0.25">
      <c r="B136" s="26">
        <v>2015</v>
      </c>
      <c r="C136" s="27">
        <v>1019571.4085290028</v>
      </c>
      <c r="D136" s="28">
        <v>0</v>
      </c>
      <c r="E136" s="28">
        <f t="shared" si="36"/>
        <v>1019571.4085290028</v>
      </c>
      <c r="F136" s="27">
        <v>4697.8044143992256</v>
      </c>
      <c r="G136" s="28">
        <f t="shared" si="37"/>
        <v>0</v>
      </c>
      <c r="H136" s="28">
        <f t="shared" si="38"/>
        <v>4697.8044143992256</v>
      </c>
      <c r="I136" s="28">
        <f t="shared" si="39"/>
        <v>4697.8044143992256</v>
      </c>
      <c r="K136" s="2">
        <f t="shared" ref="K136:K171" si="40">I136-I135</f>
        <v>288.62848525333629</v>
      </c>
    </row>
    <row r="137" spans="1:12" x14ac:dyDescent="0.25">
      <c r="B137" s="26">
        <v>2016</v>
      </c>
      <c r="C137" s="27">
        <v>1117970.6924468274</v>
      </c>
      <c r="D137" s="28">
        <v>0</v>
      </c>
      <c r="E137" s="28">
        <f t="shared" si="36"/>
        <v>1117970.6924468274</v>
      </c>
      <c r="F137" s="27">
        <v>4861.015568828896</v>
      </c>
      <c r="G137" s="28">
        <f t="shared" si="37"/>
        <v>0</v>
      </c>
      <c r="H137" s="28">
        <f t="shared" si="38"/>
        <v>4861.0155688288969</v>
      </c>
      <c r="I137" s="28">
        <f t="shared" si="39"/>
        <v>4861.0155688288969</v>
      </c>
      <c r="K137" s="2">
        <f t="shared" si="40"/>
        <v>163.2111544296713</v>
      </c>
    </row>
    <row r="138" spans="1:12" x14ac:dyDescent="0.25">
      <c r="B138" s="26">
        <v>2017</v>
      </c>
      <c r="C138" s="27">
        <v>1053030.9082251894</v>
      </c>
      <c r="D138" s="28">
        <v>0</v>
      </c>
      <c r="E138" s="28">
        <f t="shared" si="36"/>
        <v>1053030.9082251894</v>
      </c>
      <c r="F138" s="27">
        <v>4774.6817019902828</v>
      </c>
      <c r="G138" s="28">
        <f t="shared" si="37"/>
        <v>0</v>
      </c>
      <c r="H138" s="28">
        <f t="shared" si="38"/>
        <v>4774.6817019902837</v>
      </c>
      <c r="I138" s="28">
        <f t="shared" si="39"/>
        <v>4774.6817019902837</v>
      </c>
      <c r="K138" s="2">
        <f t="shared" si="40"/>
        <v>-86.333866838613176</v>
      </c>
    </row>
    <row r="139" spans="1:12" x14ac:dyDescent="0.25">
      <c r="B139" s="26">
        <v>2018</v>
      </c>
      <c r="C139" s="27">
        <v>1166385.7116395417</v>
      </c>
      <c r="D139" s="28">
        <f>F11+L54</f>
        <v>51642.285714285448</v>
      </c>
      <c r="E139" s="28">
        <f t="shared" si="36"/>
        <v>1114743.4259252562</v>
      </c>
      <c r="F139" s="27">
        <v>4784.7519434793039</v>
      </c>
      <c r="G139" s="28">
        <f t="shared" si="37"/>
        <v>211.03084412307703</v>
      </c>
      <c r="H139" s="28">
        <f t="shared" si="38"/>
        <v>4572.9047607923612</v>
      </c>
      <c r="I139" s="28">
        <f t="shared" si="39"/>
        <v>4783.9356049154385</v>
      </c>
      <c r="K139" s="2">
        <f t="shared" si="40"/>
        <v>9.2539029251547618</v>
      </c>
    </row>
    <row r="140" spans="1:12" x14ac:dyDescent="0.25">
      <c r="B140" s="26">
        <v>2019</v>
      </c>
      <c r="C140" s="27">
        <v>1206991.5861911501</v>
      </c>
      <c r="D140" s="28">
        <f t="shared" ref="D140:D171" si="41">F12+L55</f>
        <v>107573.71428571269</v>
      </c>
      <c r="E140" s="28">
        <f t="shared" si="36"/>
        <v>1099417.8719054374</v>
      </c>
      <c r="F140" s="27">
        <v>4809.2963508437269</v>
      </c>
      <c r="G140" s="28">
        <f t="shared" si="37"/>
        <v>432.48301783958181</v>
      </c>
      <c r="H140" s="28">
        <f t="shared" si="38"/>
        <v>4374.8827982689982</v>
      </c>
      <c r="I140" s="28">
        <f t="shared" si="39"/>
        <v>4807.3658161085796</v>
      </c>
      <c r="K140" s="2">
        <f t="shared" si="40"/>
        <v>23.430211193141076</v>
      </c>
    </row>
    <row r="141" spans="1:12" x14ac:dyDescent="0.25">
      <c r="B141" s="26">
        <v>2020</v>
      </c>
      <c r="C141" s="27">
        <v>1247784.1313553418</v>
      </c>
      <c r="D141" s="28">
        <f t="shared" si="41"/>
        <v>167794.28571428359</v>
      </c>
      <c r="E141" s="28">
        <f t="shared" si="36"/>
        <v>1079989.8456410582</v>
      </c>
      <c r="F141" s="27">
        <v>4845.536453345142</v>
      </c>
      <c r="G141" s="28">
        <f t="shared" si="37"/>
        <v>652.75014115394049</v>
      </c>
      <c r="H141" s="28">
        <f t="shared" si="38"/>
        <v>4178.1480588033037</v>
      </c>
      <c r="I141" s="28">
        <f t="shared" si="39"/>
        <v>4830.8981999572443</v>
      </c>
      <c r="K141" s="2">
        <f t="shared" si="40"/>
        <v>23.532383848664722</v>
      </c>
    </row>
    <row r="142" spans="1:12" x14ac:dyDescent="0.25">
      <c r="B142" s="26">
        <v>2021</v>
      </c>
      <c r="C142" s="27">
        <v>1288748.2711188961</v>
      </c>
      <c r="D142" s="28">
        <f t="shared" si="41"/>
        <v>232303.99999999817</v>
      </c>
      <c r="E142" s="28">
        <f t="shared" si="36"/>
        <v>1056444.2711188979</v>
      </c>
      <c r="F142" s="27">
        <v>4893.1151305214926</v>
      </c>
      <c r="G142" s="28">
        <f t="shared" si="37"/>
        <v>869.40684556351971</v>
      </c>
      <c r="H142" s="28">
        <f t="shared" si="38"/>
        <v>3982.5406391933921</v>
      </c>
      <c r="I142" s="28">
        <f t="shared" si="39"/>
        <v>4851.9474847569118</v>
      </c>
      <c r="K142" s="2">
        <f t="shared" si="40"/>
        <v>21.049284799667475</v>
      </c>
    </row>
    <row r="143" spans="1:12" x14ac:dyDescent="0.25">
      <c r="B143" s="26">
        <v>2022</v>
      </c>
      <c r="C143" s="27">
        <v>1329857.3224403893</v>
      </c>
      <c r="D143" s="28">
        <f t="shared" si="41"/>
        <v>301102.85714285454</v>
      </c>
      <c r="E143" s="28">
        <f t="shared" si="36"/>
        <v>1028754.4652975346</v>
      </c>
      <c r="F143" s="27">
        <v>4952.0423023853336</v>
      </c>
      <c r="G143" s="28">
        <f t="shared" si="37"/>
        <v>1081.2867954515718</v>
      </c>
      <c r="H143" s="28">
        <f t="shared" si="38"/>
        <v>3788.1330883649962</v>
      </c>
      <c r="I143" s="28">
        <f t="shared" si="39"/>
        <v>4869.4198838165685</v>
      </c>
      <c r="K143" s="2">
        <f t="shared" si="40"/>
        <v>17.472399059656709</v>
      </c>
    </row>
    <row r="144" spans="1:12" x14ac:dyDescent="0.25">
      <c r="B144" s="26">
        <v>2023</v>
      </c>
      <c r="C144" s="27">
        <v>1371090.8945916586</v>
      </c>
      <c r="D144" s="28">
        <f t="shared" si="41"/>
        <v>374190.85714285454</v>
      </c>
      <c r="E144" s="28">
        <f t="shared" si="36"/>
        <v>996900.03744880413</v>
      </c>
      <c r="F144" s="27">
        <v>5022.1493287186813</v>
      </c>
      <c r="G144" s="28">
        <f t="shared" si="37"/>
        <v>1287.331839903122</v>
      </c>
      <c r="H144" s="28">
        <f t="shared" si="38"/>
        <v>3594.6941276091529</v>
      </c>
      <c r="I144" s="28">
        <f t="shared" si="39"/>
        <v>4882.0259675122752</v>
      </c>
      <c r="K144" s="2">
        <f t="shared" si="40"/>
        <v>12.606083695706729</v>
      </c>
    </row>
    <row r="145" spans="2:11" x14ac:dyDescent="0.25">
      <c r="B145" s="26">
        <v>2024</v>
      </c>
      <c r="C145" s="27">
        <v>1412434.5035978679</v>
      </c>
      <c r="D145" s="28">
        <f t="shared" si="41"/>
        <v>451567.99999999633</v>
      </c>
      <c r="E145" s="28">
        <f t="shared" si="36"/>
        <v>960866.50359787163</v>
      </c>
      <c r="F145" s="27">
        <v>5103.1187691104178</v>
      </c>
      <c r="G145" s="28">
        <f t="shared" si="37"/>
        <v>1486.5580451599751</v>
      </c>
      <c r="H145" s="28">
        <f t="shared" si="38"/>
        <v>3401.7275357727162</v>
      </c>
      <c r="I145" s="28">
        <f t="shared" si="39"/>
        <v>4888.2855809326911</v>
      </c>
      <c r="K145" s="2">
        <f t="shared" si="40"/>
        <v>6.2596134204159171</v>
      </c>
    </row>
    <row r="146" spans="2:11" x14ac:dyDescent="0.25">
      <c r="B146" s="26">
        <v>2025</v>
      </c>
      <c r="C146" s="27">
        <v>1453842.0175012546</v>
      </c>
      <c r="D146" s="28">
        <f t="shared" si="41"/>
        <v>533234.28571428184</v>
      </c>
      <c r="E146" s="28">
        <f t="shared" si="36"/>
        <v>920607.73178697273</v>
      </c>
      <c r="F146" s="27">
        <v>5195.5160642926385</v>
      </c>
      <c r="G146" s="28">
        <f t="shared" si="37"/>
        <v>1678.0867107197246</v>
      </c>
      <c r="H146" s="28">
        <f t="shared" si="38"/>
        <v>3209.4200578255791</v>
      </c>
      <c r="I146" s="28">
        <f t="shared" si="39"/>
        <v>4887.5067685453032</v>
      </c>
      <c r="K146" s="2">
        <f t="shared" si="40"/>
        <v>-0.77881238738791581</v>
      </c>
    </row>
    <row r="147" spans="2:11" x14ac:dyDescent="0.25">
      <c r="B147" s="26">
        <v>2026</v>
      </c>
      <c r="C147" s="27">
        <v>1495296.6218874408</v>
      </c>
      <c r="D147" s="28">
        <f t="shared" si="41"/>
        <v>619189.71428570908</v>
      </c>
      <c r="E147" s="28">
        <f t="shared" si="36"/>
        <v>876106.90760173171</v>
      </c>
      <c r="F147" s="27">
        <v>5299.0832939312513</v>
      </c>
      <c r="G147" s="28">
        <f t="shared" si="37"/>
        <v>1861.0677518153682</v>
      </c>
      <c r="H147" s="28">
        <f t="shared" si="38"/>
        <v>3016.9885445153564</v>
      </c>
      <c r="I147" s="28">
        <f t="shared" si="39"/>
        <v>4878.0562963307248</v>
      </c>
      <c r="K147" s="2">
        <f t="shared" si="40"/>
        <v>-9.4504722145784399</v>
      </c>
    </row>
    <row r="148" spans="2:11" x14ac:dyDescent="0.25">
      <c r="B148" s="26">
        <v>2027</v>
      </c>
      <c r="C148" s="27">
        <v>1536770.45903657</v>
      </c>
      <c r="D148" s="28">
        <f t="shared" si="41"/>
        <v>709434.28571427998</v>
      </c>
      <c r="E148" s="28">
        <f t="shared" si="36"/>
        <v>827336.17332229007</v>
      </c>
      <c r="F148" s="27">
        <v>5413.8700580907316</v>
      </c>
      <c r="G148" s="28">
        <f t="shared" si="37"/>
        <v>2034.6744172861208</v>
      </c>
      <c r="H148" s="28">
        <f t="shared" si="38"/>
        <v>2823.7634828396308</v>
      </c>
      <c r="I148" s="28">
        <f t="shared" si="39"/>
        <v>4858.4379001257512</v>
      </c>
      <c r="K148" s="2">
        <f t="shared" si="40"/>
        <v>-19.618396204973578</v>
      </c>
    </row>
    <row r="149" spans="2:11" x14ac:dyDescent="0.25">
      <c r="B149" s="26">
        <v>2028</v>
      </c>
      <c r="C149" s="27">
        <v>1578233.9588539612</v>
      </c>
      <c r="D149" s="28">
        <f t="shared" si="41"/>
        <v>803967.99999999441</v>
      </c>
      <c r="E149" s="28">
        <f t="shared" si="36"/>
        <v>774265.95885396679</v>
      </c>
      <c r="F149" s="27">
        <v>5539.9656368863471</v>
      </c>
      <c r="G149" s="28">
        <f t="shared" si="37"/>
        <v>2198.0787928430732</v>
      </c>
      <c r="H149" s="28">
        <f t="shared" si="38"/>
        <v>2628.8861810769477</v>
      </c>
      <c r="I149" s="28">
        <f t="shared" si="39"/>
        <v>4826.9649739200213</v>
      </c>
      <c r="K149" s="2">
        <f t="shared" si="40"/>
        <v>-31.472926205729891</v>
      </c>
    </row>
    <row r="150" spans="2:11" x14ac:dyDescent="0.25">
      <c r="B150" s="26">
        <v>2029</v>
      </c>
      <c r="C150" s="27">
        <v>1619667.6062884759</v>
      </c>
      <c r="D150" s="28">
        <f t="shared" si="41"/>
        <v>902790.85714285087</v>
      </c>
      <c r="E150" s="28">
        <f t="shared" si="36"/>
        <v>716876.74914562504</v>
      </c>
      <c r="F150" s="27">
        <v>5677.2013900999818</v>
      </c>
      <c r="G150" s="28">
        <f t="shared" si="37"/>
        <v>2350.4054084059217</v>
      </c>
      <c r="H150" s="28">
        <f t="shared" si="38"/>
        <v>2431.0033800523142</v>
      </c>
      <c r="I150" s="28">
        <f t="shared" si="39"/>
        <v>4781.4087884582359</v>
      </c>
      <c r="K150" s="2">
        <f t="shared" si="40"/>
        <v>-45.55618546178539</v>
      </c>
    </row>
    <row r="151" spans="2:11" x14ac:dyDescent="0.25">
      <c r="B151" s="26">
        <v>2030</v>
      </c>
      <c r="C151" s="27">
        <v>1661026.0804002865</v>
      </c>
      <c r="D151" s="28">
        <f t="shared" si="41"/>
        <v>1005902.8571428509</v>
      </c>
      <c r="E151" s="28">
        <f t="shared" si="36"/>
        <v>655123.2232574356</v>
      </c>
      <c r="F151" s="27">
        <v>5826.0534783480334</v>
      </c>
      <c r="G151" s="28">
        <f t="shared" si="37"/>
        <v>2490.7386711655022</v>
      </c>
      <c r="H151" s="28">
        <f t="shared" si="38"/>
        <v>2229.0223114014148</v>
      </c>
      <c r="I151" s="28">
        <f t="shared" si="39"/>
        <v>4719.7609825669169</v>
      </c>
      <c r="K151" s="2">
        <f t="shared" si="40"/>
        <v>-61.647805891318967</v>
      </c>
    </row>
    <row r="152" spans="2:11" x14ac:dyDescent="0.25">
      <c r="B152" s="26">
        <v>2031</v>
      </c>
      <c r="C152" s="40">
        <f>$O$175+$O$174*B152+$O$173*B152^2</f>
        <v>1699877.2219293118</v>
      </c>
      <c r="D152" s="28">
        <f t="shared" si="41"/>
        <v>1113303.999999993</v>
      </c>
      <c r="E152" s="28">
        <f t="shared" ref="E152:E171" si="42">F67</f>
        <v>586573.22192931885</v>
      </c>
      <c r="G152" s="28">
        <f t="shared" ref="G152:G171" si="43">H24</f>
        <v>2616.9769994897606</v>
      </c>
      <c r="H152" s="28">
        <f t="shared" ref="H152:H171" si="44">G67</f>
        <v>1995.7845372202278</v>
      </c>
      <c r="I152" s="28">
        <f t="shared" si="39"/>
        <v>4612.7615367099879</v>
      </c>
      <c r="K152" s="2">
        <f t="shared" si="40"/>
        <v>-106.99944585692901</v>
      </c>
    </row>
    <row r="153" spans="2:11" x14ac:dyDescent="0.25">
      <c r="B153" s="26">
        <v>2032</v>
      </c>
      <c r="C153" s="40">
        <f t="shared" ref="C153:C171" si="45">$O$175+$O$174*B153+$O$173*B153^2</f>
        <v>1739712.7580529451</v>
      </c>
      <c r="D153" s="28">
        <f t="shared" si="41"/>
        <v>1224994.2857142785</v>
      </c>
      <c r="E153" s="28">
        <f t="shared" si="42"/>
        <v>514718.47233866679</v>
      </c>
      <c r="G153" s="28">
        <f t="shared" si="43"/>
        <v>2727.5283661437466</v>
      </c>
      <c r="H153" s="28">
        <f t="shared" si="44"/>
        <v>1751.3025308866092</v>
      </c>
      <c r="I153" s="28">
        <f t="shared" si="39"/>
        <v>4478.830897030356</v>
      </c>
      <c r="K153" s="2">
        <f t="shared" si="40"/>
        <v>-133.93063967963189</v>
      </c>
    </row>
    <row r="154" spans="2:11" x14ac:dyDescent="0.25">
      <c r="B154" s="26">
        <v>2033</v>
      </c>
      <c r="C154" s="40">
        <f t="shared" si="45"/>
        <v>1779272.0068622828</v>
      </c>
      <c r="D154" s="28">
        <f t="shared" si="41"/>
        <v>1340973.7142857057</v>
      </c>
      <c r="E154" s="28">
        <f t="shared" si="42"/>
        <v>438298.29257657717</v>
      </c>
      <c r="G154" s="28">
        <f t="shared" si="43"/>
        <v>2820.800743892506</v>
      </c>
      <c r="H154" s="28">
        <f t="shared" si="44"/>
        <v>1491.2868885101714</v>
      </c>
      <c r="I154" s="28">
        <f t="shared" si="39"/>
        <v>4312.0876324026776</v>
      </c>
      <c r="K154" s="2">
        <f t="shared" si="40"/>
        <v>-166.7432646276784</v>
      </c>
    </row>
    <row r="155" spans="2:11" x14ac:dyDescent="0.25">
      <c r="B155" s="26">
        <v>2034</v>
      </c>
      <c r="C155" s="40">
        <f t="shared" si="45"/>
        <v>1818554.9683576822</v>
      </c>
      <c r="D155" s="28">
        <f t="shared" si="41"/>
        <v>1461242.2857142766</v>
      </c>
      <c r="E155" s="28">
        <f t="shared" si="42"/>
        <v>357312.68264340574</v>
      </c>
      <c r="G155" s="28">
        <f t="shared" si="43"/>
        <v>2895.2021055010882</v>
      </c>
      <c r="H155" s="28">
        <f t="shared" si="44"/>
        <v>1215.7376100921249</v>
      </c>
      <c r="I155" s="28">
        <f t="shared" si="39"/>
        <v>4110.9397155932129</v>
      </c>
      <c r="K155" s="2">
        <f t="shared" si="40"/>
        <v>-201.14791680946473</v>
      </c>
    </row>
    <row r="156" spans="2:11" x14ac:dyDescent="0.25">
      <c r="B156" s="26">
        <v>2035</v>
      </c>
      <c r="C156" s="40">
        <f t="shared" si="45"/>
        <v>1857561.6425389051</v>
      </c>
      <c r="D156" s="28">
        <f t="shared" si="41"/>
        <v>1585799.9999999912</v>
      </c>
      <c r="E156" s="28">
        <f t="shared" si="42"/>
        <v>271761.64253891411</v>
      </c>
      <c r="G156" s="28">
        <f t="shared" si="43"/>
        <v>2949.1404237345405</v>
      </c>
      <c r="H156" s="28">
        <f t="shared" si="44"/>
        <v>924.65469563165868</v>
      </c>
      <c r="I156" s="28">
        <f t="shared" si="39"/>
        <v>3873.7951193661993</v>
      </c>
      <c r="K156" s="2">
        <f t="shared" si="40"/>
        <v>-237.14459622701361</v>
      </c>
    </row>
    <row r="157" spans="2:11" x14ac:dyDescent="0.25">
      <c r="B157" s="26">
        <v>2036</v>
      </c>
      <c r="C157" s="40">
        <f t="shared" si="45"/>
        <v>1896292.0294060707</v>
      </c>
      <c r="D157" s="28">
        <f t="shared" si="41"/>
        <v>1714646.8571428475</v>
      </c>
      <c r="E157" s="28">
        <f t="shared" si="42"/>
        <v>181645.17226322333</v>
      </c>
      <c r="G157" s="28">
        <f t="shared" si="43"/>
        <v>2981.0236713579097</v>
      </c>
      <c r="H157" s="28">
        <f t="shared" si="44"/>
        <v>618.03814512918461</v>
      </c>
      <c r="I157" s="28">
        <f t="shared" si="39"/>
        <v>3599.0618164870943</v>
      </c>
      <c r="K157" s="2">
        <f t="shared" si="40"/>
        <v>-274.73330287910494</v>
      </c>
    </row>
    <row r="158" spans="2:11" x14ac:dyDescent="0.25">
      <c r="B158" s="26">
        <v>2037</v>
      </c>
      <c r="C158" s="40">
        <f t="shared" si="45"/>
        <v>1934746.1289587021</v>
      </c>
      <c r="D158" s="28">
        <f t="shared" si="41"/>
        <v>1847782.8571428475</v>
      </c>
      <c r="E158" s="28">
        <f t="shared" si="42"/>
        <v>86963.271815854707</v>
      </c>
      <c r="G158" s="28">
        <f t="shared" si="43"/>
        <v>2989.2598211362442</v>
      </c>
      <c r="H158" s="28">
        <f t="shared" si="44"/>
        <v>295.8879585830739</v>
      </c>
      <c r="I158" s="28">
        <f t="shared" si="39"/>
        <v>3285.1477797193184</v>
      </c>
      <c r="K158" s="2">
        <f t="shared" si="40"/>
        <v>-313.914036767776</v>
      </c>
    </row>
    <row r="159" spans="2:11" x14ac:dyDescent="0.25">
      <c r="B159" s="26">
        <v>2038</v>
      </c>
      <c r="C159" s="40">
        <f t="shared" si="45"/>
        <v>1972923.9411973953</v>
      </c>
      <c r="D159" s="28">
        <f t="shared" si="41"/>
        <v>1972923.9411973956</v>
      </c>
      <c r="E159" s="28">
        <f t="shared" si="42"/>
        <v>0</v>
      </c>
      <c r="G159" s="28">
        <f t="shared" si="43"/>
        <v>2973.7766954347603</v>
      </c>
      <c r="H159" s="28">
        <f t="shared" si="44"/>
        <v>0</v>
      </c>
      <c r="I159" s="28">
        <f t="shared" si="39"/>
        <v>2973.7766954347603</v>
      </c>
      <c r="K159" s="2">
        <f t="shared" si="40"/>
        <v>-311.37108428455804</v>
      </c>
    </row>
    <row r="160" spans="2:11" x14ac:dyDescent="0.25">
      <c r="B160" s="26">
        <v>2039</v>
      </c>
      <c r="C160" s="40">
        <f t="shared" si="45"/>
        <v>2010825.466121912</v>
      </c>
      <c r="D160" s="28">
        <f>F32+L75</f>
        <v>2010825.4661219122</v>
      </c>
      <c r="E160" s="28">
        <f t="shared" si="42"/>
        <v>0</v>
      </c>
      <c r="G160" s="28">
        <f t="shared" si="43"/>
        <v>2962.0532458754528</v>
      </c>
      <c r="H160" s="28">
        <f t="shared" si="44"/>
        <v>0</v>
      </c>
      <c r="I160" s="28">
        <f t="shared" si="39"/>
        <v>2962.0532458754528</v>
      </c>
      <c r="K160" s="2">
        <f t="shared" si="40"/>
        <v>-11.723449559307483</v>
      </c>
    </row>
    <row r="161" spans="2:18" x14ac:dyDescent="0.25">
      <c r="B161" s="26">
        <v>2040</v>
      </c>
      <c r="C161" s="40">
        <f t="shared" si="45"/>
        <v>2048450.7037320137</v>
      </c>
      <c r="D161" s="28">
        <f t="shared" si="41"/>
        <v>2048450.7037320137</v>
      </c>
      <c r="E161" s="28">
        <f t="shared" si="42"/>
        <v>0</v>
      </c>
      <c r="G161" s="28">
        <f t="shared" si="43"/>
        <v>2943.4324615705486</v>
      </c>
      <c r="H161" s="28">
        <f t="shared" si="44"/>
        <v>0</v>
      </c>
      <c r="I161" s="28">
        <f t="shared" si="39"/>
        <v>2943.4324615705486</v>
      </c>
      <c r="K161" s="2">
        <f t="shared" si="40"/>
        <v>-18.620784304904191</v>
      </c>
    </row>
    <row r="162" spans="2:18" x14ac:dyDescent="0.25">
      <c r="B162" s="26">
        <v>2041</v>
      </c>
      <c r="C162" s="40">
        <f t="shared" si="45"/>
        <v>2085799.6540281773</v>
      </c>
      <c r="D162" s="28">
        <f t="shared" si="41"/>
        <v>2085799.6540281773</v>
      </c>
      <c r="E162" s="28">
        <f t="shared" si="42"/>
        <v>0</v>
      </c>
      <c r="G162" s="28">
        <f t="shared" si="43"/>
        <v>2918.0168937622138</v>
      </c>
      <c r="H162" s="28">
        <f t="shared" si="44"/>
        <v>0</v>
      </c>
      <c r="I162" s="28">
        <f t="shared" si="39"/>
        <v>2918.0168937622138</v>
      </c>
      <c r="K162" s="2">
        <f t="shared" si="40"/>
        <v>-25.415567808334799</v>
      </c>
    </row>
    <row r="163" spans="2:18" x14ac:dyDescent="0.25">
      <c r="B163" s="26">
        <v>2042</v>
      </c>
      <c r="C163" s="40">
        <f t="shared" si="45"/>
        <v>2122872.3170102835</v>
      </c>
      <c r="D163" s="28">
        <f t="shared" si="41"/>
        <v>2122872.3170102835</v>
      </c>
      <c r="E163" s="28">
        <f t="shared" si="42"/>
        <v>0</v>
      </c>
      <c r="G163" s="28">
        <f t="shared" si="43"/>
        <v>2885.9090936928656</v>
      </c>
      <c r="H163" s="28">
        <f t="shared" si="44"/>
        <v>0</v>
      </c>
      <c r="I163" s="28">
        <f t="shared" si="39"/>
        <v>2885.9090936928656</v>
      </c>
      <c r="K163" s="2">
        <f t="shared" si="40"/>
        <v>-32.107800069348286</v>
      </c>
    </row>
    <row r="164" spans="2:18" x14ac:dyDescent="0.25">
      <c r="B164" s="26">
        <v>2043</v>
      </c>
      <c r="C164" s="40">
        <f t="shared" si="45"/>
        <v>2159668.6926778555</v>
      </c>
      <c r="D164" s="28">
        <f t="shared" si="41"/>
        <v>2159668.6926778555</v>
      </c>
      <c r="E164" s="28">
        <f t="shared" si="42"/>
        <v>0</v>
      </c>
      <c r="G164" s="28">
        <f t="shared" si="43"/>
        <v>2847.2116126053634</v>
      </c>
      <c r="H164" s="28">
        <f t="shared" si="44"/>
        <v>0</v>
      </c>
      <c r="I164" s="28">
        <f t="shared" si="39"/>
        <v>2847.2116126053634</v>
      </c>
      <c r="K164" s="2">
        <f t="shared" si="40"/>
        <v>-38.697481087502183</v>
      </c>
    </row>
    <row r="165" spans="2:18" x14ac:dyDescent="0.25">
      <c r="B165" s="26">
        <v>2044</v>
      </c>
      <c r="C165" s="40">
        <f t="shared" si="45"/>
        <v>2196188.7810314894</v>
      </c>
      <c r="D165" s="28">
        <f t="shared" si="41"/>
        <v>2196188.7810314894</v>
      </c>
      <c r="E165" s="28">
        <f t="shared" si="42"/>
        <v>0</v>
      </c>
      <c r="G165" s="28">
        <f t="shared" si="43"/>
        <v>2802.027001741505</v>
      </c>
      <c r="H165" s="28">
        <f t="shared" si="44"/>
        <v>0</v>
      </c>
      <c r="I165" s="28">
        <f t="shared" si="39"/>
        <v>2802.027001741505</v>
      </c>
      <c r="K165" s="2">
        <f t="shared" si="40"/>
        <v>-45.184610863858325</v>
      </c>
    </row>
    <row r="166" spans="2:18" x14ac:dyDescent="0.25">
      <c r="B166" s="26">
        <v>2045</v>
      </c>
      <c r="C166" s="40">
        <f t="shared" si="45"/>
        <v>2232432.5820710659</v>
      </c>
      <c r="D166" s="28">
        <f t="shared" si="41"/>
        <v>2232432.5820710659</v>
      </c>
      <c r="E166" s="28">
        <f t="shared" si="42"/>
        <v>0</v>
      </c>
      <c r="G166" s="28">
        <f t="shared" si="43"/>
        <v>2750.4578123437736</v>
      </c>
      <c r="H166" s="28">
        <f t="shared" si="44"/>
        <v>0</v>
      </c>
      <c r="I166" s="28">
        <f t="shared" si="39"/>
        <v>2750.4578123437736</v>
      </c>
      <c r="K166" s="2">
        <f t="shared" si="40"/>
        <v>-51.569189397731407</v>
      </c>
      <c r="N166" s="73" t="s">
        <v>38</v>
      </c>
      <c r="O166" s="74"/>
      <c r="P166" s="74"/>
      <c r="Q166" s="74"/>
      <c r="R166" s="75"/>
    </row>
    <row r="167" spans="2:18" x14ac:dyDescent="0.25">
      <c r="B167" s="26">
        <v>2046</v>
      </c>
      <c r="C167" s="40">
        <f t="shared" si="45"/>
        <v>2268400.0957963467</v>
      </c>
      <c r="D167" s="28">
        <f t="shared" si="41"/>
        <v>2268400.0957963467</v>
      </c>
      <c r="E167" s="28">
        <f t="shared" si="42"/>
        <v>0</v>
      </c>
      <c r="G167" s="28">
        <f t="shared" si="43"/>
        <v>2692.606595654911</v>
      </c>
      <c r="H167" s="28">
        <f t="shared" si="44"/>
        <v>0</v>
      </c>
      <c r="I167" s="28">
        <f t="shared" si="39"/>
        <v>2692.606595654911</v>
      </c>
      <c r="K167" s="2">
        <f t="shared" si="40"/>
        <v>-57.851216688862678</v>
      </c>
      <c r="N167" s="38"/>
      <c r="O167" s="38"/>
      <c r="P167" s="38"/>
      <c r="Q167" s="38"/>
      <c r="R167" s="38"/>
    </row>
    <row r="168" spans="2:18" x14ac:dyDescent="0.25">
      <c r="B168" s="26">
        <v>2047</v>
      </c>
      <c r="C168" s="40">
        <f t="shared" si="45"/>
        <v>2304091.3222073317</v>
      </c>
      <c r="D168" s="28">
        <f t="shared" si="41"/>
        <v>2304091.3222073317</v>
      </c>
      <c r="E168" s="28">
        <f t="shared" si="42"/>
        <v>0</v>
      </c>
      <c r="G168" s="28">
        <f t="shared" si="43"/>
        <v>2628.5759029173632</v>
      </c>
      <c r="H168" s="28">
        <f t="shared" si="44"/>
        <v>0</v>
      </c>
      <c r="I168" s="28">
        <f t="shared" si="39"/>
        <v>2628.5759029173632</v>
      </c>
      <c r="K168" s="2">
        <f t="shared" si="40"/>
        <v>-64.030692737547724</v>
      </c>
      <c r="N168" s="39">
        <f t="array" ref="N168:R172">LINEST(C135:C151,B135:B151^{1,2},1,1)</f>
        <v>-138.14365708631564</v>
      </c>
      <c r="O168" s="39">
        <v>601113.21486537647</v>
      </c>
      <c r="P168" s="39">
        <v>-649323864.29122472</v>
      </c>
      <c r="Q168" s="39" t="e">
        <v>#N/A</v>
      </c>
      <c r="R168" s="39" t="e">
        <v>#N/A</v>
      </c>
    </row>
    <row r="169" spans="2:18" x14ac:dyDescent="0.25">
      <c r="B169" s="26">
        <v>2048</v>
      </c>
      <c r="C169" s="40">
        <f t="shared" si="45"/>
        <v>2339506.2613042593</v>
      </c>
      <c r="D169" s="28">
        <f t="shared" si="41"/>
        <v>2339506.2613042593</v>
      </c>
      <c r="E169" s="28">
        <f t="shared" si="42"/>
        <v>0</v>
      </c>
      <c r="G169" s="28">
        <f t="shared" si="43"/>
        <v>2558.4682853731051</v>
      </c>
      <c r="H169" s="28">
        <f t="shared" si="44"/>
        <v>0</v>
      </c>
      <c r="I169" s="28">
        <f t="shared" si="39"/>
        <v>2558.4682853731051</v>
      </c>
      <c r="K169" s="2">
        <f t="shared" si="40"/>
        <v>-70.107617544258119</v>
      </c>
      <c r="N169" s="39">
        <v>239.14143958870778</v>
      </c>
      <c r="O169" s="39">
        <v>967088.54347789567</v>
      </c>
      <c r="P169" s="39">
        <v>977722481.96855688</v>
      </c>
      <c r="Q169" s="39" t="e">
        <v>#N/A</v>
      </c>
      <c r="R169" s="39" t="e">
        <v>#N/A</v>
      </c>
    </row>
    <row r="170" spans="2:18" x14ac:dyDescent="0.25">
      <c r="B170" s="26">
        <v>2049</v>
      </c>
      <c r="C170" s="40">
        <f t="shared" si="45"/>
        <v>2374644.9130871296</v>
      </c>
      <c r="D170" s="28">
        <f t="shared" si="41"/>
        <v>2374644.9130871296</v>
      </c>
      <c r="E170" s="28">
        <f t="shared" si="42"/>
        <v>0</v>
      </c>
      <c r="G170" s="28">
        <f t="shared" si="43"/>
        <v>2482.3862942644946</v>
      </c>
      <c r="H170" s="28">
        <f t="shared" si="44"/>
        <v>0</v>
      </c>
      <c r="I170" s="28">
        <f t="shared" si="39"/>
        <v>2482.3862942644946</v>
      </c>
      <c r="K170" s="2">
        <f t="shared" si="40"/>
        <v>-76.081991108610509</v>
      </c>
      <c r="N170" s="39">
        <v>0.99163453264370804</v>
      </c>
      <c r="O170" s="39">
        <v>21055.313943338719</v>
      </c>
      <c r="P170" s="39" t="e">
        <v>#N/A</v>
      </c>
      <c r="Q170" s="39" t="e">
        <v>#N/A</v>
      </c>
      <c r="R170" s="39" t="e">
        <v>#N/A</v>
      </c>
    </row>
    <row r="171" spans="2:18" x14ac:dyDescent="0.25">
      <c r="B171" s="26">
        <v>2050</v>
      </c>
      <c r="C171" s="40">
        <f t="shared" si="45"/>
        <v>2409507.2775554657</v>
      </c>
      <c r="D171" s="28">
        <f t="shared" si="41"/>
        <v>2409507.2775554657</v>
      </c>
      <c r="E171" s="28">
        <f t="shared" si="42"/>
        <v>0</v>
      </c>
      <c r="G171" s="28">
        <f t="shared" si="43"/>
        <v>2400.4324808350107</v>
      </c>
      <c r="H171" s="28">
        <f t="shared" si="44"/>
        <v>0</v>
      </c>
      <c r="I171" s="28">
        <f t="shared" si="39"/>
        <v>2400.4324808350107</v>
      </c>
      <c r="K171" s="2">
        <f t="shared" si="40"/>
        <v>-81.953813429483944</v>
      </c>
      <c r="N171" s="39">
        <v>829.77333278158483</v>
      </c>
      <c r="O171" s="39">
        <v>14</v>
      </c>
      <c r="P171" s="39" t="e">
        <v>#N/A</v>
      </c>
      <c r="Q171" s="39" t="e">
        <v>#N/A</v>
      </c>
      <c r="R171" s="39" t="e">
        <v>#N/A</v>
      </c>
    </row>
    <row r="172" spans="2:18" x14ac:dyDescent="0.25">
      <c r="B172" t="s">
        <v>23</v>
      </c>
      <c r="C172" t="s">
        <v>24</v>
      </c>
      <c r="D172" t="s">
        <v>25</v>
      </c>
      <c r="E172" t="s">
        <v>27</v>
      </c>
      <c r="N172" s="39">
        <v>735720592065.51575</v>
      </c>
      <c r="O172" s="39">
        <v>6206567433.5357542</v>
      </c>
      <c r="P172" s="39" t="e">
        <v>#N/A</v>
      </c>
      <c r="Q172" s="39" t="e">
        <v>#N/A</v>
      </c>
      <c r="R172" s="39" t="e">
        <v>#N/A</v>
      </c>
    </row>
    <row r="173" spans="2:18" ht="17.25" x14ac:dyDescent="0.25">
      <c r="N173" s="38" t="s">
        <v>41</v>
      </c>
      <c r="O173" s="39">
        <f t="array" ref="O173:O175">TRANSPOSE(N168:P168)</f>
        <v>-138.14365708631564</v>
      </c>
      <c r="P173" s="38"/>
      <c r="Q173" s="38"/>
      <c r="R173" s="38"/>
    </row>
    <row r="174" spans="2:18" x14ac:dyDescent="0.25">
      <c r="I174" s="2">
        <f>I171-I139</f>
        <v>-2383.5031240804278</v>
      </c>
      <c r="N174" s="38" t="s">
        <v>39</v>
      </c>
      <c r="O174" s="39">
        <v>601113.21486537647</v>
      </c>
      <c r="P174" s="38"/>
      <c r="Q174" s="38"/>
      <c r="R174" s="38"/>
    </row>
    <row r="175" spans="2:18" x14ac:dyDescent="0.25">
      <c r="N175" s="38" t="s">
        <v>40</v>
      </c>
      <c r="O175" s="39">
        <v>-649323864.29122472</v>
      </c>
      <c r="P175" s="38"/>
      <c r="Q175" s="38"/>
      <c r="R175" s="38"/>
    </row>
    <row r="178" spans="2:17" x14ac:dyDescent="0.25">
      <c r="N178" s="73" t="s">
        <v>51</v>
      </c>
      <c r="O178" s="74"/>
      <c r="P178" s="74"/>
      <c r="Q178" s="75"/>
    </row>
    <row r="179" spans="2:17" x14ac:dyDescent="0.25">
      <c r="N179" s="46">
        <v>-5.2572005665525562E-5</v>
      </c>
      <c r="O179" s="46">
        <v>0.21452890275684569</v>
      </c>
      <c r="P179" s="46">
        <v>-218.79254802690875</v>
      </c>
      <c r="Q179" s="69" t="s">
        <v>52</v>
      </c>
    </row>
    <row r="180" spans="2:17" x14ac:dyDescent="0.25">
      <c r="N180" s="39">
        <v>1.7064877257679867E-5</v>
      </c>
      <c r="O180" s="39">
        <v>6.8993343775134094E-2</v>
      </c>
      <c r="P180" s="39">
        <v>69.734699412297203</v>
      </c>
      <c r="Q180" s="70"/>
    </row>
    <row r="181" spans="2:17" x14ac:dyDescent="0.25">
      <c r="N181" s="39">
        <v>0.97712452195416344</v>
      </c>
      <c r="O181" s="39">
        <v>1.734919862769587E-3</v>
      </c>
      <c r="P181" s="39" t="e">
        <v>#N/A</v>
      </c>
      <c r="Q181" s="70"/>
    </row>
    <row r="182" spans="2:17" x14ac:dyDescent="0.25">
      <c r="N182" s="39">
        <v>320.36200074035276</v>
      </c>
      <c r="O182" s="39">
        <v>15</v>
      </c>
      <c r="P182" s="39" t="e">
        <v>#N/A</v>
      </c>
      <c r="Q182" s="70"/>
    </row>
    <row r="183" spans="2:17" x14ac:dyDescent="0.25">
      <c r="N183" s="39">
        <v>1.9285452413830967E-3</v>
      </c>
      <c r="O183" s="39">
        <v>4.5149203953486638E-5</v>
      </c>
      <c r="P183" s="39" t="e">
        <v>#N/A</v>
      </c>
      <c r="Q183" s="70"/>
    </row>
    <row r="184" spans="2:17" ht="17.25" x14ac:dyDescent="0.25">
      <c r="N184" s="38" t="s">
        <v>41</v>
      </c>
      <c r="O184" s="39">
        <v>-5.2572005665525562E-5</v>
      </c>
      <c r="P184" s="38"/>
      <c r="Q184" s="70"/>
    </row>
    <row r="185" spans="2:17" x14ac:dyDescent="0.25">
      <c r="N185" s="38" t="s">
        <v>39</v>
      </c>
      <c r="O185" s="39">
        <v>0.21452890275684569</v>
      </c>
      <c r="P185" s="38"/>
      <c r="Q185" s="70"/>
    </row>
    <row r="186" spans="2:17" x14ac:dyDescent="0.25">
      <c r="N186" s="38" t="s">
        <v>40</v>
      </c>
      <c r="O186" s="39">
        <v>-218.79254802690875</v>
      </c>
      <c r="P186" s="38"/>
      <c r="Q186" s="71"/>
    </row>
    <row r="187" spans="2:17" x14ac:dyDescent="0.25">
      <c r="N187" s="42" t="s">
        <v>42</v>
      </c>
      <c r="O187" s="37" t="s">
        <v>34</v>
      </c>
      <c r="P187" s="37" t="s">
        <v>35</v>
      </c>
      <c r="Q187" s="37" t="s">
        <v>43</v>
      </c>
    </row>
    <row r="192" spans="2:17" ht="24" x14ac:dyDescent="0.25">
      <c r="B192" s="9" t="s">
        <v>0</v>
      </c>
      <c r="C192" s="19" t="s">
        <v>65</v>
      </c>
    </row>
    <row r="193" spans="2:16" x14ac:dyDescent="0.25">
      <c r="B193" s="10">
        <v>2013</v>
      </c>
      <c r="C193" s="11">
        <v>4488.9048500498293</v>
      </c>
    </row>
    <row r="194" spans="2:16" x14ac:dyDescent="0.25">
      <c r="B194" s="10">
        <v>2014</v>
      </c>
      <c r="C194" s="11">
        <v>4409.1759291458902</v>
      </c>
    </row>
    <row r="195" spans="2:16" x14ac:dyDescent="0.25">
      <c r="B195" s="10">
        <v>2015</v>
      </c>
      <c r="C195" s="11">
        <v>4697.8044143992256</v>
      </c>
    </row>
    <row r="196" spans="2:16" x14ac:dyDescent="0.25">
      <c r="B196" s="10">
        <v>2016</v>
      </c>
      <c r="C196" s="11">
        <v>4861.015568828896</v>
      </c>
    </row>
    <row r="197" spans="2:16" x14ac:dyDescent="0.25">
      <c r="B197" s="10">
        <v>2017</v>
      </c>
      <c r="C197" s="11">
        <v>4774.6817019902828</v>
      </c>
    </row>
    <row r="198" spans="2:16" x14ac:dyDescent="0.25">
      <c r="B198" s="10">
        <v>2018</v>
      </c>
      <c r="C198" s="11">
        <v>4784.7519434793039</v>
      </c>
    </row>
    <row r="199" spans="2:16" x14ac:dyDescent="0.25">
      <c r="B199" s="10">
        <v>2019</v>
      </c>
      <c r="C199" s="11">
        <v>4809.2963508437269</v>
      </c>
    </row>
    <row r="200" spans="2:16" x14ac:dyDescent="0.25">
      <c r="B200" s="10">
        <v>2020</v>
      </c>
      <c r="C200" s="11">
        <v>4845.536453345142</v>
      </c>
    </row>
    <row r="201" spans="2:16" x14ac:dyDescent="0.25">
      <c r="B201" s="10">
        <v>2021</v>
      </c>
      <c r="C201" s="11">
        <v>4893.1151305214926</v>
      </c>
      <c r="N201" s="72" t="s">
        <v>64</v>
      </c>
      <c r="O201" s="72"/>
      <c r="P201" s="72"/>
    </row>
    <row r="202" spans="2:16" x14ac:dyDescent="0.25">
      <c r="B202" s="10">
        <v>2022</v>
      </c>
      <c r="C202" s="11">
        <v>4952.0423023853336</v>
      </c>
      <c r="N202" s="39">
        <f t="array" ref="N202:P206">LINEST(C197:C210,B197:B210^{1,2},1,1)</f>
        <v>5.650340769505303</v>
      </c>
      <c r="O202" s="39">
        <v>-22785.873341756665</v>
      </c>
      <c r="P202" s="39">
        <v>22976659.976669725</v>
      </c>
    </row>
    <row r="203" spans="2:16" x14ac:dyDescent="0.25">
      <c r="B203" s="10">
        <v>2023</v>
      </c>
      <c r="C203" s="11">
        <v>5022.1493287186813</v>
      </c>
      <c r="N203" s="39">
        <v>1.6232796451648292E-2</v>
      </c>
      <c r="O203" s="39">
        <v>65.694152910657564</v>
      </c>
      <c r="P203" s="39">
        <v>66465.873342586943</v>
      </c>
    </row>
    <row r="204" spans="2:16" x14ac:dyDescent="0.25">
      <c r="B204" s="10">
        <v>2024</v>
      </c>
      <c r="C204" s="11">
        <v>5103.1187691104178</v>
      </c>
      <c r="N204" s="46">
        <v>0.99999468365713307</v>
      </c>
      <c r="O204" s="46">
        <v>0.87596958738614972</v>
      </c>
      <c r="P204" s="38" t="e">
        <v>#N/A</v>
      </c>
    </row>
    <row r="205" spans="2:16" x14ac:dyDescent="0.25">
      <c r="B205" s="10">
        <v>2025</v>
      </c>
      <c r="C205" s="11">
        <v>5195.5160642926385</v>
      </c>
      <c r="N205" s="46">
        <v>1034540.2653073142</v>
      </c>
      <c r="O205" s="46">
        <v>11</v>
      </c>
      <c r="P205" s="38" t="e">
        <v>#N/A</v>
      </c>
    </row>
    <row r="206" spans="2:16" x14ac:dyDescent="0.25">
      <c r="B206" s="10">
        <v>2026</v>
      </c>
      <c r="C206" s="11">
        <v>5299.0832939312513</v>
      </c>
      <c r="N206" s="46">
        <v>1587652.4965647806</v>
      </c>
      <c r="O206" s="46">
        <v>8.4405498982800751</v>
      </c>
      <c r="P206" s="38" t="e">
        <v>#N/A</v>
      </c>
    </row>
    <row r="207" spans="2:16" ht="17.25" x14ac:dyDescent="0.25">
      <c r="B207" s="10">
        <v>2027</v>
      </c>
      <c r="C207" s="11">
        <v>5413.8700580907316</v>
      </c>
      <c r="N207" s="38" t="s">
        <v>41</v>
      </c>
      <c r="O207" s="46">
        <f t="array" ref="O207:O209">TRANSPOSE(N202:P202)</f>
        <v>5.650340769505303</v>
      </c>
      <c r="P207" s="38"/>
    </row>
    <row r="208" spans="2:16" x14ac:dyDescent="0.25">
      <c r="B208" s="10">
        <v>2028</v>
      </c>
      <c r="C208" s="11">
        <v>5539.9656368863471</v>
      </c>
      <c r="N208" s="38" t="s">
        <v>39</v>
      </c>
      <c r="O208" s="46">
        <v>-22785.873341756665</v>
      </c>
      <c r="P208" s="38"/>
    </row>
    <row r="209" spans="1:16" x14ac:dyDescent="0.25">
      <c r="B209" s="10">
        <v>2029</v>
      </c>
      <c r="C209" s="11">
        <v>5677.2013900999818</v>
      </c>
      <c r="N209" s="38" t="s">
        <v>40</v>
      </c>
      <c r="O209" s="46">
        <v>22976659.976669725</v>
      </c>
      <c r="P209" s="38"/>
    </row>
    <row r="210" spans="1:16" x14ac:dyDescent="0.25">
      <c r="B210" s="10">
        <v>2030</v>
      </c>
      <c r="C210" s="11">
        <v>5826.0534783480334</v>
      </c>
    </row>
    <row r="211" spans="1:16" x14ac:dyDescent="0.25">
      <c r="A211">
        <v>1</v>
      </c>
      <c r="B211" s="10">
        <v>2031</v>
      </c>
      <c r="C211" s="11">
        <f>$O$209+$O$208*B211+$O$207*B211^2</f>
        <v>5986.5304813012481</v>
      </c>
    </row>
    <row r="212" spans="1:16" x14ac:dyDescent="0.25">
      <c r="A212">
        <v>2</v>
      </c>
      <c r="B212" s="10">
        <v>2032</v>
      </c>
      <c r="C212" s="11">
        <f t="shared" ref="C212:C230" si="46">$O$209+$O$208*B212+$O$207*B212^2</f>
        <v>6157.9916860498488</v>
      </c>
    </row>
    <row r="213" spans="1:16" x14ac:dyDescent="0.25">
      <c r="A213">
        <v>3</v>
      </c>
      <c r="B213" s="10">
        <v>2033</v>
      </c>
      <c r="C213" s="11">
        <f t="shared" si="46"/>
        <v>6340.7535723261535</v>
      </c>
    </row>
    <row r="214" spans="1:16" x14ac:dyDescent="0.25">
      <c r="A214">
        <v>4</v>
      </c>
      <c r="B214" s="10">
        <v>2034</v>
      </c>
      <c r="C214" s="11">
        <f t="shared" si="46"/>
        <v>6534.8161401487887</v>
      </c>
    </row>
    <row r="215" spans="1:16" x14ac:dyDescent="0.25">
      <c r="A215">
        <v>5</v>
      </c>
      <c r="B215" s="10">
        <v>2035</v>
      </c>
      <c r="C215" s="11">
        <f t="shared" si="46"/>
        <v>6740.179389514029</v>
      </c>
    </row>
    <row r="216" spans="1:16" x14ac:dyDescent="0.25">
      <c r="A216">
        <v>6</v>
      </c>
      <c r="B216" s="10">
        <v>2036</v>
      </c>
      <c r="C216" s="11">
        <f t="shared" si="46"/>
        <v>6956.8433204069734</v>
      </c>
    </row>
    <row r="217" spans="1:16" x14ac:dyDescent="0.25">
      <c r="A217">
        <v>7</v>
      </c>
      <c r="B217" s="10">
        <v>2037</v>
      </c>
      <c r="C217" s="11">
        <f t="shared" si="46"/>
        <v>7184.8079328499734</v>
      </c>
    </row>
    <row r="218" spans="1:16" x14ac:dyDescent="0.25">
      <c r="A218">
        <v>8</v>
      </c>
      <c r="B218" s="10">
        <v>2038</v>
      </c>
      <c r="C218" s="11">
        <f t="shared" si="46"/>
        <v>7424.0732268206775</v>
      </c>
    </row>
    <row r="219" spans="1:16" x14ac:dyDescent="0.25">
      <c r="A219">
        <v>9</v>
      </c>
      <c r="B219" s="10">
        <v>2039</v>
      </c>
      <c r="C219" s="11">
        <f t="shared" si="46"/>
        <v>7674.6392023414373</v>
      </c>
    </row>
    <row r="220" spans="1:16" x14ac:dyDescent="0.25">
      <c r="A220">
        <v>10</v>
      </c>
      <c r="B220" s="10">
        <v>2040</v>
      </c>
      <c r="C220" s="11">
        <f t="shared" si="46"/>
        <v>7936.5058593973517</v>
      </c>
    </row>
    <row r="221" spans="1:16" x14ac:dyDescent="0.25">
      <c r="A221">
        <v>11</v>
      </c>
      <c r="B221" s="10">
        <v>2041</v>
      </c>
      <c r="C221" s="11">
        <f t="shared" si="46"/>
        <v>8209.6731979884207</v>
      </c>
    </row>
    <row r="222" spans="1:16" x14ac:dyDescent="0.25">
      <c r="A222">
        <v>12</v>
      </c>
      <c r="B222" s="10">
        <v>2042</v>
      </c>
      <c r="C222" s="11">
        <f t="shared" si="46"/>
        <v>8494.1412181220949</v>
      </c>
    </row>
    <row r="223" spans="1:16" x14ac:dyDescent="0.25">
      <c r="A223">
        <v>13</v>
      </c>
      <c r="B223" s="10">
        <v>2043</v>
      </c>
      <c r="C223" s="11">
        <f t="shared" si="46"/>
        <v>8789.9099197983742</v>
      </c>
    </row>
    <row r="224" spans="1:16" x14ac:dyDescent="0.25">
      <c r="A224">
        <v>14</v>
      </c>
      <c r="B224" s="10">
        <v>2044</v>
      </c>
      <c r="C224" s="11">
        <f t="shared" si="46"/>
        <v>9096.9793030060828</v>
      </c>
    </row>
    <row r="225" spans="1:3" x14ac:dyDescent="0.25">
      <c r="A225">
        <v>15</v>
      </c>
      <c r="B225" s="10">
        <v>2045</v>
      </c>
      <c r="C225" s="11">
        <f t="shared" si="46"/>
        <v>9415.3493677601218</v>
      </c>
    </row>
    <row r="226" spans="1:3" x14ac:dyDescent="0.25">
      <c r="A226">
        <v>16</v>
      </c>
      <c r="B226" s="10">
        <v>2046</v>
      </c>
      <c r="C226" s="11">
        <f t="shared" si="46"/>
        <v>9745.0201140493155</v>
      </c>
    </row>
    <row r="227" spans="1:3" x14ac:dyDescent="0.25">
      <c r="A227">
        <v>17</v>
      </c>
      <c r="B227" s="10">
        <v>2047</v>
      </c>
      <c r="C227" s="11">
        <f t="shared" si="46"/>
        <v>10085.991541873664</v>
      </c>
    </row>
    <row r="228" spans="1:3" x14ac:dyDescent="0.25">
      <c r="A228">
        <v>18</v>
      </c>
      <c r="B228" s="10">
        <v>2048</v>
      </c>
      <c r="C228" s="11">
        <f t="shared" si="46"/>
        <v>10438.263651244342</v>
      </c>
    </row>
    <row r="229" spans="1:3" x14ac:dyDescent="0.25">
      <c r="A229">
        <v>19</v>
      </c>
      <c r="B229" s="10">
        <v>2049</v>
      </c>
      <c r="C229" s="11">
        <f t="shared" si="46"/>
        <v>10801.836442153901</v>
      </c>
    </row>
    <row r="230" spans="1:3" x14ac:dyDescent="0.25">
      <c r="A230">
        <v>20</v>
      </c>
      <c r="B230" s="10">
        <v>2050</v>
      </c>
      <c r="C230" s="11">
        <f t="shared" si="46"/>
        <v>11176.709914594889</v>
      </c>
    </row>
  </sheetData>
  <mergeCells count="8">
    <mergeCell ref="Q179:Q186"/>
    <mergeCell ref="N201:P201"/>
    <mergeCell ref="E4:H4"/>
    <mergeCell ref="N38:O38"/>
    <mergeCell ref="E47:H47"/>
    <mergeCell ref="B90:K90"/>
    <mergeCell ref="N166:R166"/>
    <mergeCell ref="N178:Q178"/>
  </mergeCells>
  <pageMargins left="0.7" right="0.7" top="0.75" bottom="0.75" header="0.3" footer="0.3"/>
  <ignoredErrors>
    <ignoredError sqref="F53:F54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Escenario Base</vt:lpstr>
      <vt:lpstr>Mitigacion NOM163</vt:lpstr>
      <vt:lpstr>Mitigacion NOM163 VE@6%</vt:lpstr>
      <vt:lpstr>Mitigacion NOM163 VE@20%</vt:lpstr>
      <vt:lpstr>Mitigacion VE@20%</vt:lpstr>
      <vt:lpstr>Mitigacion VE@20% (al 2050)</vt:lpstr>
      <vt:lpstr>Mitigacion NOM VE@20% (al 2050)</vt:lpstr>
      <vt:lpstr>Mitigacion VE@60% (al 2050)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2021-02-02T04:37:36Z</dcterms:created>
  <dcterms:modified xsi:type="dcterms:W3CDTF">2021-02-10T21:58:01Z</dcterms:modified>
</cp:coreProperties>
</file>