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uisa\Desktop\AKR\PECC Copy\00 Comentarios 20200623\99 Excel Files\"/>
    </mc:Choice>
  </mc:AlternateContent>
  <xr:revisionPtr revIDLastSave="0" documentId="13_ncr:1_{5C1C1FDC-B6D3-4E23-BB07-218A3D82C562}" xr6:coauthVersionLast="45" xr6:coauthVersionMax="45" xr10:uidLastSave="{00000000-0000-0000-0000-000000000000}"/>
  <bookViews>
    <workbookView xWindow="20370" yWindow="-120" windowWidth="29040" windowHeight="16440" activeTab="11" xr2:uid="{7EEE9B0C-D094-4276-950E-4A1BD438E730}"/>
  </bookViews>
  <sheets>
    <sheet name="DA" sheetId="1" r:id="rId1"/>
    <sheet name="Analisis y proyección" sheetId="6" r:id="rId2"/>
    <sheet name="FE" sheetId="3" r:id="rId3"/>
    <sheet name="2" sheetId="2" r:id="rId4"/>
    <sheet name="Totales" sheetId="5" r:id="rId5"/>
    <sheet name="N" sheetId="4" r:id="rId6"/>
    <sheet name="Costos" sheetId="7" r:id="rId7"/>
    <sheet name="Sheet2" sheetId="11" r:id="rId8"/>
    <sheet name="Modelo Finan - Inputs" sheetId="12" r:id="rId9"/>
    <sheet name="Sheet2 (2)" sheetId="9" r:id="rId10"/>
    <sheet name="Sheet4" sheetId="10" r:id="rId11"/>
    <sheet name="Bases de proyeccion 3A" sheetId="13" r:id="rId12"/>
  </sheets>
  <externalReferences>
    <externalReference r:id="rId13"/>
  </externalReferenc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1" i="13" l="1"/>
  <c r="K62" i="13"/>
  <c r="R49" i="13"/>
  <c r="Q49" i="13"/>
  <c r="P49" i="13"/>
  <c r="K56" i="13"/>
  <c r="K58" i="13"/>
  <c r="K57" i="13"/>
  <c r="I55" i="13"/>
  <c r="I56" i="13" l="1"/>
  <c r="J56" i="13"/>
  <c r="I57" i="13"/>
  <c r="J57" i="13"/>
  <c r="I58" i="13"/>
  <c r="J58" i="13"/>
  <c r="I59" i="13"/>
  <c r="J59" i="13"/>
  <c r="K59" i="13"/>
  <c r="I60" i="13"/>
  <c r="J60" i="13"/>
  <c r="K60" i="13"/>
  <c r="I61" i="13"/>
  <c r="J61" i="13"/>
  <c r="K61" i="13"/>
  <c r="I62" i="13"/>
  <c r="J62" i="13"/>
  <c r="I63" i="13"/>
  <c r="J63" i="13"/>
  <c r="K63" i="13"/>
  <c r="I64" i="13"/>
  <c r="J64" i="13"/>
  <c r="K64" i="13"/>
  <c r="I65" i="13"/>
  <c r="J65" i="13"/>
  <c r="K65" i="13"/>
  <c r="I66" i="13"/>
  <c r="J66" i="13"/>
  <c r="K66" i="13"/>
  <c r="I67" i="13"/>
  <c r="J67" i="13"/>
  <c r="K67" i="13"/>
  <c r="J55" i="13"/>
  <c r="K55" i="13"/>
  <c r="G34" i="13"/>
  <c r="H34" i="13"/>
  <c r="G35" i="13"/>
  <c r="H35" i="13"/>
  <c r="G36" i="13"/>
  <c r="H36" i="13"/>
  <c r="E46" i="13"/>
  <c r="E45" i="13"/>
  <c r="E44" i="13"/>
  <c r="E43" i="13"/>
  <c r="D47" i="13"/>
  <c r="D46" i="13"/>
  <c r="D45" i="13"/>
  <c r="D44" i="13"/>
  <c r="D43" i="13"/>
  <c r="T33" i="13"/>
  <c r="C33" i="13"/>
  <c r="D33" i="13"/>
  <c r="E33" i="13"/>
  <c r="F33" i="13"/>
  <c r="G33" i="13"/>
  <c r="H33" i="13"/>
  <c r="I33" i="13"/>
  <c r="J33" i="13"/>
  <c r="K33" i="13"/>
  <c r="L33" i="13"/>
  <c r="M33" i="13"/>
  <c r="N33" i="13"/>
  <c r="O33" i="13"/>
  <c r="P33" i="13"/>
  <c r="Q33" i="13"/>
  <c r="R33" i="13"/>
  <c r="S33" i="13"/>
  <c r="U33" i="13"/>
  <c r="B33" i="13"/>
  <c r="C36" i="13" l="1"/>
  <c r="D36" i="13"/>
  <c r="E36" i="13"/>
  <c r="F36" i="13"/>
  <c r="B36" i="13"/>
  <c r="F34" i="13"/>
  <c r="F35" i="13"/>
  <c r="C35" i="13"/>
  <c r="D35" i="13"/>
  <c r="E35" i="13"/>
  <c r="B35" i="13"/>
  <c r="C34" i="13"/>
  <c r="D34" i="13"/>
  <c r="E34" i="13"/>
  <c r="B34" i="13"/>
  <c r="E67" i="13"/>
  <c r="D67" i="13"/>
  <c r="C67" i="13"/>
  <c r="C66" i="13"/>
  <c r="E66" i="13" s="1"/>
  <c r="C65" i="13"/>
  <c r="E65" i="13" s="1"/>
  <c r="C64" i="13"/>
  <c r="E64" i="13" s="1"/>
  <c r="D63" i="13"/>
  <c r="C63" i="13"/>
  <c r="E63" i="13" s="1"/>
  <c r="D62" i="13"/>
  <c r="C62" i="13"/>
  <c r="E62" i="13" s="1"/>
  <c r="C61" i="13"/>
  <c r="E61" i="13" s="1"/>
  <c r="C60" i="13"/>
  <c r="E60" i="13" s="1"/>
  <c r="E59" i="13"/>
  <c r="D59" i="13"/>
  <c r="C59" i="13"/>
  <c r="D58" i="13"/>
  <c r="C58" i="13"/>
  <c r="E58" i="13" s="1"/>
  <c r="C57" i="13"/>
  <c r="E57" i="13" s="1"/>
  <c r="C56" i="13"/>
  <c r="E56" i="13" s="1"/>
  <c r="E55" i="13"/>
  <c r="D55" i="13"/>
  <c r="C55" i="13"/>
  <c r="E54" i="13"/>
  <c r="D54" i="13"/>
  <c r="C54" i="13"/>
  <c r="C53" i="13"/>
  <c r="E53" i="13" s="1"/>
  <c r="C52" i="13"/>
  <c r="E52" i="13" s="1"/>
  <c r="E51" i="13"/>
  <c r="D51" i="13"/>
  <c r="C51" i="13"/>
  <c r="D50" i="13"/>
  <c r="C50" i="13"/>
  <c r="E50" i="13" s="1"/>
  <c r="C49" i="13"/>
  <c r="E49" i="13" s="1"/>
  <c r="C48" i="13"/>
  <c r="E48" i="13" s="1"/>
  <c r="E47" i="13"/>
  <c r="C47" i="13"/>
  <c r="C46" i="13"/>
  <c r="C45" i="13"/>
  <c r="C44" i="13"/>
  <c r="C43" i="13"/>
  <c r="A32" i="13"/>
  <c r="A31" i="13"/>
  <c r="I34" i="13" l="1" a="1"/>
  <c r="D65" i="13"/>
  <c r="D49" i="13"/>
  <c r="D57" i="13"/>
  <c r="D52" i="13"/>
  <c r="D60" i="13"/>
  <c r="D66" i="13"/>
  <c r="D53" i="13"/>
  <c r="D61" i="13"/>
  <c r="D48" i="13"/>
  <c r="D56" i="13"/>
  <c r="D64" i="13"/>
  <c r="J52" i="11"/>
  <c r="I34" i="13" l="1"/>
  <c r="P34" i="13"/>
  <c r="R35" i="13"/>
  <c r="J35" i="13"/>
  <c r="L34" i="13"/>
  <c r="T34" i="13"/>
  <c r="T37" i="13" s="1"/>
  <c r="U35" i="13"/>
  <c r="U38" i="13" s="1"/>
  <c r="Q34" i="13"/>
  <c r="T36" i="13"/>
  <c r="T39" i="13" s="1"/>
  <c r="S36" i="13"/>
  <c r="S39" i="13" s="1"/>
  <c r="Q36" i="13"/>
  <c r="M35" i="13"/>
  <c r="L36" i="13"/>
  <c r="K36" i="13"/>
  <c r="I36" i="13"/>
  <c r="R34" i="13"/>
  <c r="L35" i="13"/>
  <c r="P36" i="13"/>
  <c r="U36" i="13"/>
  <c r="U39" i="13" s="1"/>
  <c r="Q35" i="13"/>
  <c r="P35" i="13"/>
  <c r="N35" i="13"/>
  <c r="J34" i="13"/>
  <c r="O34" i="13"/>
  <c r="I35" i="13"/>
  <c r="U34" i="13"/>
  <c r="U37" i="13" s="1"/>
  <c r="S34" i="13"/>
  <c r="S37" i="13" s="1"/>
  <c r="S35" i="13"/>
  <c r="S38" i="13" s="1"/>
  <c r="K35" i="13"/>
  <c r="N34" i="13"/>
  <c r="R36" i="13"/>
  <c r="K34" i="13"/>
  <c r="O36" i="13"/>
  <c r="M36" i="13"/>
  <c r="M34" i="13"/>
  <c r="J36" i="13"/>
  <c r="N36" i="13"/>
  <c r="T35" i="13"/>
  <c r="T38" i="13" s="1"/>
  <c r="O35" i="13"/>
  <c r="G55" i="11"/>
  <c r="H55" i="11"/>
  <c r="I55" i="11"/>
  <c r="F55" i="11"/>
  <c r="I53" i="11"/>
  <c r="I52" i="11"/>
  <c r="I50" i="11"/>
  <c r="I49" i="11"/>
  <c r="I48" i="11"/>
  <c r="H53" i="11"/>
  <c r="H51" i="11"/>
  <c r="H49" i="11"/>
  <c r="H48" i="11"/>
  <c r="G53" i="11"/>
  <c r="F53" i="11"/>
  <c r="F9" i="12" l="1"/>
  <c r="F8" i="12"/>
  <c r="D16" i="12" l="1"/>
  <c r="D17" i="12"/>
  <c r="D15" i="12"/>
  <c r="D12" i="12"/>
  <c r="D28" i="12"/>
  <c r="G6" i="11" l="1"/>
  <c r="H7" i="11"/>
  <c r="K16" i="11"/>
  <c r="G25" i="11"/>
  <c r="G28" i="11" s="1"/>
  <c r="H25" i="11"/>
  <c r="H28" i="11" s="1"/>
  <c r="I25" i="11"/>
  <c r="M25" i="11"/>
  <c r="M29" i="11" s="1"/>
  <c r="K26" i="11"/>
  <c r="K25" i="11" s="1"/>
  <c r="K24" i="11" s="1"/>
  <c r="M26" i="11"/>
  <c r="G27" i="11"/>
  <c r="H27" i="11"/>
  <c r="I27" i="11"/>
  <c r="K27" i="11"/>
  <c r="I31" i="11"/>
  <c r="K34" i="11"/>
  <c r="K35" i="11" s="1"/>
  <c r="G35" i="11"/>
  <c r="G58" i="11" s="1"/>
  <c r="H35" i="11"/>
  <c r="I35" i="11"/>
  <c r="H38" i="11"/>
  <c r="H39" i="11" s="1"/>
  <c r="I38" i="11"/>
  <c r="I39" i="11" s="1"/>
  <c r="G39" i="11"/>
  <c r="K39" i="11"/>
  <c r="K40" i="11"/>
  <c r="K30" i="11" s="1"/>
  <c r="K32" i="11" s="1"/>
  <c r="K33" i="11" s="1"/>
  <c r="K36" i="11" s="1"/>
  <c r="I64" i="11"/>
  <c r="K64" i="11" s="1"/>
  <c r="K66" i="11" s="1"/>
  <c r="I65" i="11"/>
  <c r="K65" i="11" s="1"/>
  <c r="G71" i="11"/>
  <c r="H71" i="11"/>
  <c r="I71" i="11"/>
  <c r="J71" i="11"/>
  <c r="J73" i="11"/>
  <c r="M93" i="11"/>
  <c r="M98" i="11" s="1"/>
  <c r="M99" i="11" s="1"/>
  <c r="M94" i="11"/>
  <c r="H95" i="11"/>
  <c r="I95" i="11"/>
  <c r="J95" i="11"/>
  <c r="K95" i="11"/>
  <c r="L95" i="11"/>
  <c r="N95" i="11"/>
  <c r="M96" i="11"/>
  <c r="H97" i="11"/>
  <c r="I97" i="11"/>
  <c r="J97" i="11"/>
  <c r="K97" i="11"/>
  <c r="L97" i="11"/>
  <c r="N97" i="11"/>
  <c r="H98" i="11"/>
  <c r="H99" i="11" s="1"/>
  <c r="I98" i="11"/>
  <c r="I99" i="11" s="1"/>
  <c r="J98" i="11"/>
  <c r="J99" i="11" s="1"/>
  <c r="K98" i="11"/>
  <c r="K99" i="11" s="1"/>
  <c r="L98" i="11"/>
  <c r="L99" i="11" s="1"/>
  <c r="N98" i="11"/>
  <c r="N99" i="11" s="1"/>
  <c r="I28" i="11" l="1"/>
  <c r="M40" i="11"/>
  <c r="K58" i="11"/>
  <c r="K59" i="11" s="1"/>
  <c r="K60" i="11" s="1"/>
  <c r="G59" i="11"/>
  <c r="M97" i="11"/>
  <c r="M95" i="11"/>
  <c r="I29" i="11"/>
  <c r="I40" i="11" s="1"/>
  <c r="I30" i="11" s="1"/>
  <c r="I32" i="11" s="1"/>
  <c r="I33" i="11" s="1"/>
  <c r="I36" i="11" s="1"/>
  <c r="H29" i="11"/>
  <c r="H40" i="11" s="1"/>
  <c r="H30" i="11" s="1"/>
  <c r="H32" i="11" s="1"/>
  <c r="H33" i="11" s="1"/>
  <c r="H36" i="11" s="1"/>
  <c r="G29" i="11"/>
  <c r="G40" i="11" s="1"/>
  <c r="G30" i="11" s="1"/>
  <c r="G32" i="11" s="1"/>
  <c r="G33" i="11" s="1"/>
  <c r="G36" i="11" s="1"/>
  <c r="K20" i="9"/>
  <c r="K19" i="9"/>
  <c r="K21" i="9" s="1"/>
  <c r="M21" i="9" s="1"/>
  <c r="K14" i="9"/>
  <c r="K9" i="9"/>
  <c r="K8" i="9" s="1"/>
  <c r="I17" i="9"/>
  <c r="K17" i="9"/>
  <c r="I18" i="9"/>
  <c r="K18" i="9"/>
  <c r="H18" i="9"/>
  <c r="H17" i="9"/>
  <c r="G9" i="9"/>
  <c r="G22" i="9" s="1"/>
  <c r="H9" i="9"/>
  <c r="H22" i="9" s="1"/>
  <c r="I9" i="9"/>
  <c r="M9" i="9"/>
  <c r="M10" i="9"/>
  <c r="H75" i="9"/>
  <c r="N74" i="9"/>
  <c r="N75" i="9" s="1"/>
  <c r="L74" i="9"/>
  <c r="L75" i="9" s="1"/>
  <c r="K74" i="9"/>
  <c r="K75" i="9" s="1"/>
  <c r="J74" i="9"/>
  <c r="J75" i="9" s="1"/>
  <c r="I74" i="9"/>
  <c r="I75" i="9" s="1"/>
  <c r="H74" i="9"/>
  <c r="N73" i="9"/>
  <c r="L73" i="9"/>
  <c r="K73" i="9"/>
  <c r="J73" i="9"/>
  <c r="I73" i="9"/>
  <c r="H73" i="9"/>
  <c r="M72" i="9"/>
  <c r="N71" i="9"/>
  <c r="L71" i="9"/>
  <c r="K71" i="9"/>
  <c r="J71" i="9"/>
  <c r="I71" i="9"/>
  <c r="H71" i="9"/>
  <c r="M70" i="9"/>
  <c r="M69" i="9"/>
  <c r="J49" i="9"/>
  <c r="G47" i="9"/>
  <c r="I47" i="9" s="1"/>
  <c r="I41" i="9"/>
  <c r="K41" i="9" s="1"/>
  <c r="I40" i="9"/>
  <c r="K40" i="9" s="1"/>
  <c r="K31" i="9"/>
  <c r="K32" i="9" s="1"/>
  <c r="K23" i="9" s="1"/>
  <c r="K26" i="9" s="1"/>
  <c r="K27" i="9" s="1"/>
  <c r="G31" i="9"/>
  <c r="I30" i="9"/>
  <c r="I31" i="9" s="1"/>
  <c r="H30" i="9"/>
  <c r="H31" i="9" s="1"/>
  <c r="I16" i="9"/>
  <c r="H16" i="9"/>
  <c r="G16" i="9"/>
  <c r="G34" i="9" s="1"/>
  <c r="K15" i="9"/>
  <c r="K16" i="9" s="1"/>
  <c r="I25" i="9"/>
  <c r="I11" i="9"/>
  <c r="H11" i="9"/>
  <c r="I22" i="9"/>
  <c r="G12" i="9" l="1"/>
  <c r="G14" i="9" s="1"/>
  <c r="I19" i="9"/>
  <c r="I21" i="9" s="1"/>
  <c r="M74" i="9"/>
  <c r="M75" i="9" s="1"/>
  <c r="K42" i="9"/>
  <c r="M71" i="9"/>
  <c r="M73" i="9"/>
  <c r="G35" i="9"/>
  <c r="M32" i="9" s="1"/>
  <c r="K34" i="9"/>
  <c r="K35" i="9" s="1"/>
  <c r="K36" i="9" s="1"/>
  <c r="K28" i="9"/>
  <c r="I32" i="9"/>
  <c r="I23" i="9" s="1"/>
  <c r="G32" i="9"/>
  <c r="G23" i="9" s="1"/>
  <c r="H32" i="9"/>
  <c r="H23" i="9" s="1"/>
  <c r="H12" i="9"/>
  <c r="H14" i="9" s="1"/>
  <c r="H19" i="9" s="1"/>
  <c r="I12" i="9"/>
  <c r="I14" i="9" s="1"/>
  <c r="I20" i="9" s="1"/>
  <c r="H47" i="9"/>
  <c r="J47" i="9" s="1"/>
  <c r="H21" i="9" l="1"/>
  <c r="G26" i="9"/>
  <c r="G27" i="9" s="1"/>
  <c r="G28" i="9" s="1"/>
  <c r="G24" i="9"/>
  <c r="G20" i="9"/>
  <c r="G19" i="9"/>
  <c r="G21" i="9" s="1"/>
  <c r="J21" i="9" s="1"/>
  <c r="H20" i="9"/>
  <c r="I26" i="9"/>
  <c r="I27" i="9" s="1"/>
  <c r="I28" i="9" s="1"/>
  <c r="I24" i="9"/>
  <c r="H26" i="9"/>
  <c r="H27" i="9" s="1"/>
  <c r="H28" i="9" s="1"/>
  <c r="H24" i="9"/>
  <c r="M15" i="7" l="1"/>
  <c r="M14" i="7"/>
  <c r="M16" i="7" s="1"/>
  <c r="F9" i="7"/>
  <c r="E8" i="7"/>
  <c r="M17" i="7" l="1"/>
  <c r="M18" i="7"/>
  <c r="AA3" i="6"/>
  <c r="AH23" i="6" l="1"/>
  <c r="AH22" i="6"/>
  <c r="M6" i="6"/>
  <c r="N2" i="6" s="1"/>
  <c r="N3" i="6" s="1"/>
  <c r="H61" i="6"/>
  <c r="G61" i="6"/>
  <c r="F61" i="6"/>
  <c r="H60" i="6"/>
  <c r="G60" i="6"/>
  <c r="F60" i="6"/>
  <c r="H59" i="6"/>
  <c r="G59" i="6"/>
  <c r="F59" i="6"/>
  <c r="H58" i="6"/>
  <c r="G58" i="6"/>
  <c r="F58" i="6"/>
  <c r="H57" i="6"/>
  <c r="G57" i="6"/>
  <c r="F57" i="6"/>
  <c r="F56" i="6"/>
  <c r="F55" i="6"/>
  <c r="F54" i="6"/>
  <c r="F53" i="6"/>
  <c r="F52" i="6"/>
  <c r="AH25" i="6" l="1"/>
  <c r="AA26" i="6"/>
  <c r="AA27" i="6"/>
  <c r="AA18" i="6"/>
  <c r="AA10" i="6"/>
  <c r="AA11" i="6"/>
  <c r="AA19" i="6"/>
  <c r="AA6" i="6"/>
  <c r="AA8" i="6"/>
  <c r="AA22" i="6"/>
  <c r="AA20" i="6"/>
  <c r="AA14" i="6"/>
  <c r="AA25" i="6"/>
  <c r="AA12" i="6"/>
  <c r="AA7" i="6"/>
  <c r="AA17" i="6"/>
  <c r="AA16" i="6"/>
  <c r="AA23" i="6"/>
  <c r="AA15" i="6"/>
  <c r="AA9" i="6"/>
  <c r="AA24" i="6"/>
  <c r="AA29" i="6"/>
  <c r="AA21" i="6"/>
  <c r="AA13" i="6"/>
  <c r="AA30" i="6"/>
  <c r="AA28" i="6"/>
  <c r="K57" i="6"/>
  <c r="K62" i="6" s="1"/>
  <c r="K59" i="6"/>
  <c r="I61" i="6"/>
  <c r="AH24" i="6"/>
  <c r="K61" i="6"/>
  <c r="K58" i="6"/>
  <c r="I59" i="6"/>
  <c r="K60" i="6"/>
  <c r="I57" i="6"/>
  <c r="I62" i="6" s="1"/>
  <c r="I58" i="6"/>
  <c r="I60" i="6"/>
  <c r="F6" i="6"/>
  <c r="L7" i="6" s="1"/>
  <c r="F7" i="6"/>
  <c r="L8" i="6" s="1"/>
  <c r="F8" i="6"/>
  <c r="L9" i="6" s="1"/>
  <c r="F9" i="6"/>
  <c r="L10" i="6" s="1"/>
  <c r="F10" i="6"/>
  <c r="L11" i="6" s="1"/>
  <c r="F11" i="6"/>
  <c r="L12" i="6" s="1"/>
  <c r="F12" i="6"/>
  <c r="L13" i="6" s="1"/>
  <c r="F13" i="6"/>
  <c r="L14" i="6" s="1"/>
  <c r="F14" i="6"/>
  <c r="L15" i="6" s="1"/>
  <c r="F5" i="6"/>
  <c r="L6" i="6" s="1"/>
  <c r="H14" i="6"/>
  <c r="H13" i="6"/>
  <c r="H12" i="6"/>
  <c r="H11" i="6"/>
  <c r="H10" i="6"/>
  <c r="G10" i="6"/>
  <c r="M11" i="6"/>
  <c r="G14" i="6"/>
  <c r="G13" i="6"/>
  <c r="G12" i="6"/>
  <c r="G11" i="6"/>
  <c r="AB25" i="6" l="1"/>
  <c r="AC25" i="6"/>
  <c r="AB13" i="6"/>
  <c r="AC13" i="6"/>
  <c r="AB17" i="6"/>
  <c r="AC17" i="6"/>
  <c r="AC6" i="6"/>
  <c r="AB6" i="6"/>
  <c r="AB21" i="6"/>
  <c r="AC21" i="6"/>
  <c r="AB7" i="6"/>
  <c r="AC7" i="6"/>
  <c r="AC19" i="6"/>
  <c r="AB19" i="6"/>
  <c r="AC24" i="6"/>
  <c r="AB24" i="6"/>
  <c r="AB29" i="6"/>
  <c r="AC29" i="6"/>
  <c r="AB12" i="6"/>
  <c r="AC12" i="6"/>
  <c r="AB11" i="6"/>
  <c r="AC11" i="6"/>
  <c r="AB9" i="6"/>
  <c r="AC9" i="6"/>
  <c r="AB14" i="6"/>
  <c r="AC14" i="6"/>
  <c r="AC18" i="6"/>
  <c r="AB18" i="6"/>
  <c r="AC20" i="6"/>
  <c r="AB20" i="6"/>
  <c r="AC27" i="6"/>
  <c r="AB27" i="6"/>
  <c r="AC28" i="6"/>
  <c r="AB28" i="6"/>
  <c r="AB22" i="6"/>
  <c r="AC22" i="6"/>
  <c r="AB26" i="6"/>
  <c r="AC26" i="6"/>
  <c r="AC10" i="6"/>
  <c r="AB10" i="6"/>
  <c r="AB15" i="6"/>
  <c r="AC15" i="6"/>
  <c r="AB23" i="6"/>
  <c r="AC23" i="6"/>
  <c r="AC30" i="6"/>
  <c r="AB30" i="6"/>
  <c r="AC16" i="6"/>
  <c r="AB16" i="6"/>
  <c r="AB8" i="6"/>
  <c r="AC8" i="6"/>
  <c r="W3" i="6"/>
  <c r="O6" i="6" l="1"/>
  <c r="P6" i="6" s="1"/>
  <c r="Q6" i="6" s="1"/>
  <c r="R6" i="6" s="1"/>
  <c r="S6" i="6" s="1"/>
  <c r="T6" i="6" s="1"/>
  <c r="U6" i="6" s="1"/>
  <c r="V6" i="6" s="1"/>
  <c r="W4" i="6"/>
  <c r="P4" i="6"/>
  <c r="Q4" i="6"/>
  <c r="R4" i="6"/>
  <c r="S4" i="6"/>
  <c r="T4" i="6"/>
  <c r="U4" i="6"/>
  <c r="V4" i="6"/>
  <c r="O4" i="6"/>
  <c r="U3" i="6"/>
  <c r="T3" i="6"/>
  <c r="S3" i="6"/>
  <c r="V3" i="6"/>
  <c r="R3" i="6"/>
  <c r="Q3" i="6"/>
  <c r="P3" i="6"/>
  <c r="O3" i="6"/>
  <c r="M30" i="6"/>
  <c r="M16" i="6"/>
  <c r="M17" i="6"/>
  <c r="M18" i="6"/>
  <c r="M19" i="6"/>
  <c r="M20" i="6"/>
  <c r="M21" i="6"/>
  <c r="M22" i="6"/>
  <c r="M23" i="6"/>
  <c r="M24" i="6"/>
  <c r="M25" i="6"/>
  <c r="M26" i="6"/>
  <c r="M27" i="6"/>
  <c r="M28" i="6"/>
  <c r="M29" i="6"/>
  <c r="M7" i="6"/>
  <c r="M8" i="6"/>
  <c r="M9" i="6"/>
  <c r="M10" i="6"/>
  <c r="M12" i="6"/>
  <c r="M13" i="6"/>
  <c r="M14" i="6"/>
  <c r="M15" i="6"/>
  <c r="X3" i="6" l="1"/>
  <c r="V7" i="6"/>
  <c r="V8" i="6" s="1"/>
  <c r="V9" i="6" s="1"/>
  <c r="V10" i="6" s="1"/>
  <c r="V11" i="6" s="1"/>
  <c r="V12" i="6" s="1"/>
  <c r="V13" i="6" s="1"/>
  <c r="V14" i="6" s="1"/>
  <c r="V15" i="6" s="1"/>
  <c r="V16" i="6" s="1"/>
  <c r="V17" i="6" s="1"/>
  <c r="V18" i="6" s="1"/>
  <c r="V19" i="6" s="1"/>
  <c r="V20" i="6" s="1"/>
  <c r="V21" i="6" s="1"/>
  <c r="V22" i="6" s="1"/>
  <c r="V23" i="6" s="1"/>
  <c r="V24" i="6" s="1"/>
  <c r="V25" i="6" s="1"/>
  <c r="V26" i="6" s="1"/>
  <c r="V27" i="6" s="1"/>
  <c r="V28" i="6" s="1"/>
  <c r="V29" i="6" s="1"/>
  <c r="V30" i="6" s="1"/>
  <c r="O7" i="6"/>
  <c r="O8" i="6" s="1"/>
  <c r="O9" i="6" s="1"/>
  <c r="O10" i="6" s="1"/>
  <c r="O11" i="6" s="1"/>
  <c r="O12" i="6" s="1"/>
  <c r="O13" i="6" s="1"/>
  <c r="O14" i="6" s="1"/>
  <c r="O15" i="6" s="1"/>
  <c r="O16" i="6" s="1"/>
  <c r="O17" i="6" s="1"/>
  <c r="O18" i="6" s="1"/>
  <c r="O19" i="6" s="1"/>
  <c r="O20" i="6" s="1"/>
  <c r="O21" i="6" s="1"/>
  <c r="O22" i="6" s="1"/>
  <c r="O23" i="6" s="1"/>
  <c r="O24" i="6" s="1"/>
  <c r="O25" i="6" s="1"/>
  <c r="O26" i="6" s="1"/>
  <c r="O27" i="6" s="1"/>
  <c r="O28" i="6" s="1"/>
  <c r="O29" i="6" s="1"/>
  <c r="O30" i="6" s="1"/>
  <c r="N6" i="6"/>
  <c r="N7" i="6" s="1"/>
  <c r="N8" i="6" s="1"/>
  <c r="N9" i="6" s="1"/>
  <c r="N10" i="6" s="1"/>
  <c r="N11" i="6" s="1"/>
  <c r="N12" i="6" s="1"/>
  <c r="N13" i="6" s="1"/>
  <c r="N14" i="6" s="1"/>
  <c r="N15" i="6" s="1"/>
  <c r="N16" i="6" s="1"/>
  <c r="N17" i="6" s="1"/>
  <c r="N18" i="6" s="1"/>
  <c r="N19" i="6" s="1"/>
  <c r="N20" i="6" s="1"/>
  <c r="N21" i="6" s="1"/>
  <c r="N22" i="6" s="1"/>
  <c r="N23" i="6" s="1"/>
  <c r="N24" i="6" s="1"/>
  <c r="N25" i="6" s="1"/>
  <c r="N26" i="6" s="1"/>
  <c r="N27" i="6" s="1"/>
  <c r="N28" i="6" s="1"/>
  <c r="N29" i="6" s="1"/>
  <c r="N30" i="6" s="1"/>
  <c r="W6" i="6"/>
  <c r="W7" i="6" s="1"/>
  <c r="W8" i="6" s="1"/>
  <c r="W9" i="6" s="1"/>
  <c r="W10" i="6" s="1"/>
  <c r="W11" i="6" s="1"/>
  <c r="W12" i="6" s="1"/>
  <c r="W13" i="6" s="1"/>
  <c r="W14" i="6" s="1"/>
  <c r="W15" i="6" s="1"/>
  <c r="W16" i="6" s="1"/>
  <c r="W17" i="6" s="1"/>
  <c r="W18" i="6" s="1"/>
  <c r="W19" i="6" s="1"/>
  <c r="W20" i="6" s="1"/>
  <c r="W21" i="6" s="1"/>
  <c r="W22" i="6" s="1"/>
  <c r="W23" i="6" s="1"/>
  <c r="W24" i="6" s="1"/>
  <c r="W25" i="6" s="1"/>
  <c r="W26" i="6" s="1"/>
  <c r="W27" i="6" s="1"/>
  <c r="W28" i="6" s="1"/>
  <c r="W29" i="6" s="1"/>
  <c r="W30" i="6" s="1"/>
  <c r="P7" i="6"/>
  <c r="P8" i="6" s="1"/>
  <c r="P9" i="6" s="1"/>
  <c r="P10" i="6" s="1"/>
  <c r="P11" i="6" s="1"/>
  <c r="P12" i="6" s="1"/>
  <c r="P13" i="6" s="1"/>
  <c r="P14" i="6" s="1"/>
  <c r="P15" i="6" s="1"/>
  <c r="P16" i="6" s="1"/>
  <c r="P17" i="6" s="1"/>
  <c r="P18" i="6" s="1"/>
  <c r="P19" i="6" s="1"/>
  <c r="P20" i="6" s="1"/>
  <c r="P21" i="6" s="1"/>
  <c r="P22" i="6" s="1"/>
  <c r="P23" i="6" s="1"/>
  <c r="P24" i="6" s="1"/>
  <c r="P25" i="6" s="1"/>
  <c r="P26" i="6" s="1"/>
  <c r="P27" i="6" s="1"/>
  <c r="P28" i="6" s="1"/>
  <c r="P29" i="6" s="1"/>
  <c r="P30" i="6" s="1"/>
  <c r="Q7" i="6"/>
  <c r="Q8" i="6" s="1"/>
  <c r="Q9" i="6" s="1"/>
  <c r="Q10" i="6" s="1"/>
  <c r="Q11" i="6" s="1"/>
  <c r="Q12" i="6" s="1"/>
  <c r="Q13" i="6" s="1"/>
  <c r="Q14" i="6" s="1"/>
  <c r="Q15" i="6" s="1"/>
  <c r="Q16" i="6" s="1"/>
  <c r="Q17" i="6" s="1"/>
  <c r="Q18" i="6" s="1"/>
  <c r="Q19" i="6" s="1"/>
  <c r="Q20" i="6" s="1"/>
  <c r="Q21" i="6" s="1"/>
  <c r="Q22" i="6" s="1"/>
  <c r="Q23" i="6" s="1"/>
  <c r="Q24" i="6" s="1"/>
  <c r="Q25" i="6" s="1"/>
  <c r="Q26" i="6" s="1"/>
  <c r="Q27" i="6" s="1"/>
  <c r="Q28" i="6" s="1"/>
  <c r="Q29" i="6" s="1"/>
  <c r="Q30" i="6" s="1"/>
  <c r="R7" i="6"/>
  <c r="R8" i="6" s="1"/>
  <c r="R9" i="6" s="1"/>
  <c r="R10" i="6" s="1"/>
  <c r="R11" i="6" s="1"/>
  <c r="R12" i="6" s="1"/>
  <c r="R13" i="6" s="1"/>
  <c r="R14" i="6" s="1"/>
  <c r="R15" i="6" s="1"/>
  <c r="R16" i="6" s="1"/>
  <c r="R17" i="6" s="1"/>
  <c r="R18" i="6" s="1"/>
  <c r="R19" i="6" s="1"/>
  <c r="R20" i="6" s="1"/>
  <c r="R21" i="6" s="1"/>
  <c r="R22" i="6" s="1"/>
  <c r="R23" i="6" s="1"/>
  <c r="R24" i="6" s="1"/>
  <c r="R25" i="6" s="1"/>
  <c r="R26" i="6" s="1"/>
  <c r="R27" i="6" s="1"/>
  <c r="R28" i="6" s="1"/>
  <c r="R29" i="6" s="1"/>
  <c r="R30" i="6" s="1"/>
  <c r="S7" i="6"/>
  <c r="S8" i="6" s="1"/>
  <c r="S9" i="6" s="1"/>
  <c r="S10" i="6" s="1"/>
  <c r="S11" i="6" s="1"/>
  <c r="S12" i="6" s="1"/>
  <c r="S13" i="6" s="1"/>
  <c r="S14" i="6" s="1"/>
  <c r="S15" i="6" s="1"/>
  <c r="S16" i="6" s="1"/>
  <c r="S17" i="6" s="1"/>
  <c r="S18" i="6" s="1"/>
  <c r="S19" i="6" s="1"/>
  <c r="S20" i="6" s="1"/>
  <c r="S21" i="6" s="1"/>
  <c r="S22" i="6" s="1"/>
  <c r="S23" i="6" s="1"/>
  <c r="S24" i="6" s="1"/>
  <c r="S25" i="6" s="1"/>
  <c r="S26" i="6" s="1"/>
  <c r="S27" i="6" s="1"/>
  <c r="S28" i="6" s="1"/>
  <c r="S29" i="6" s="1"/>
  <c r="S30" i="6" s="1"/>
  <c r="T7" i="6"/>
  <c r="T8" i="6" s="1"/>
  <c r="T9" i="6" s="1"/>
  <c r="T10" i="6" s="1"/>
  <c r="T11" i="6" s="1"/>
  <c r="T12" i="6" s="1"/>
  <c r="T13" i="6" s="1"/>
  <c r="T14" i="6" s="1"/>
  <c r="T15" i="6" s="1"/>
  <c r="T16" i="6" s="1"/>
  <c r="T17" i="6" s="1"/>
  <c r="T18" i="6" s="1"/>
  <c r="T19" i="6" s="1"/>
  <c r="T20" i="6" s="1"/>
  <c r="T21" i="6" s="1"/>
  <c r="T22" i="6" s="1"/>
  <c r="T23" i="6" s="1"/>
  <c r="T24" i="6" s="1"/>
  <c r="T25" i="6" s="1"/>
  <c r="T26" i="6" s="1"/>
  <c r="T27" i="6" s="1"/>
  <c r="T28" i="6" s="1"/>
  <c r="T29" i="6" s="1"/>
  <c r="T30" i="6" s="1"/>
  <c r="X6" i="6"/>
  <c r="U7" i="6"/>
  <c r="U8" i="6" s="1"/>
  <c r="U9" i="6" s="1"/>
  <c r="U10" i="6" s="1"/>
  <c r="U11" i="6" s="1"/>
  <c r="U12" i="6" s="1"/>
  <c r="U13" i="6" s="1"/>
  <c r="U14" i="6" s="1"/>
  <c r="U15" i="6" s="1"/>
  <c r="U16" i="6" s="1"/>
  <c r="U17" i="6" s="1"/>
  <c r="U18" i="6" s="1"/>
  <c r="U19" i="6" s="1"/>
  <c r="U20" i="6" s="1"/>
  <c r="U21" i="6" s="1"/>
  <c r="U22" i="6" s="1"/>
  <c r="U23" i="6" s="1"/>
  <c r="U24" i="6" s="1"/>
  <c r="U25" i="6" s="1"/>
  <c r="U26" i="6" s="1"/>
  <c r="U27" i="6" s="1"/>
  <c r="U28" i="6" s="1"/>
  <c r="U29" i="6" s="1"/>
  <c r="U30" i="6" s="1"/>
  <c r="G69" i="5"/>
  <c r="G68" i="5"/>
  <c r="G67" i="5"/>
  <c r="G66" i="5"/>
  <c r="G65" i="5"/>
  <c r="G63" i="5"/>
  <c r="G62" i="5"/>
  <c r="G61" i="5"/>
  <c r="G60" i="5"/>
  <c r="G59" i="5"/>
  <c r="G57" i="5"/>
  <c r="G56" i="5"/>
  <c r="G55" i="5"/>
  <c r="G54" i="5"/>
  <c r="G53" i="5"/>
  <c r="CP18" i="2"/>
  <c r="CP19" i="2"/>
  <c r="CP20" i="2"/>
  <c r="CP21" i="2"/>
  <c r="CP17" i="2"/>
  <c r="CM18" i="2"/>
  <c r="CM19" i="2"/>
  <c r="CM20" i="2"/>
  <c r="CM21" i="2"/>
  <c r="CM17" i="2"/>
  <c r="CI11" i="2"/>
  <c r="CI12" i="2"/>
  <c r="CI13" i="2"/>
  <c r="CI14" i="2"/>
  <c r="CI10" i="2"/>
  <c r="C48" i="5"/>
  <c r="H48" i="5" s="1"/>
  <c r="C49" i="5"/>
  <c r="H49" i="5" s="1"/>
  <c r="C50" i="5"/>
  <c r="H50" i="5" s="1"/>
  <c r="C51" i="5"/>
  <c r="H51" i="5" s="1"/>
  <c r="C47" i="5"/>
  <c r="H47" i="5" s="1"/>
  <c r="B48" i="5"/>
  <c r="G48" i="5" s="1"/>
  <c r="B49" i="5"/>
  <c r="G49" i="5" s="1"/>
  <c r="B50" i="5"/>
  <c r="G50" i="5" s="1"/>
  <c r="B51" i="5"/>
  <c r="G51" i="5" s="1"/>
  <c r="B47" i="5"/>
  <c r="G47" i="5" s="1"/>
  <c r="AB57" i="2"/>
  <c r="AB64" i="2"/>
  <c r="CI4" i="2"/>
  <c r="CI5" i="2"/>
  <c r="CI6" i="2"/>
  <c r="CI7" i="2"/>
  <c r="CI3" i="2"/>
  <c r="M74" i="2"/>
  <c r="M75" i="2"/>
  <c r="M76" i="2"/>
  <c r="M77" i="2"/>
  <c r="M73" i="2"/>
  <c r="G74" i="2"/>
  <c r="G75" i="2"/>
  <c r="G76" i="2"/>
  <c r="G77" i="2"/>
  <c r="G73" i="2"/>
  <c r="X7" i="6" l="1"/>
  <c r="X8" i="6" s="1"/>
  <c r="X9" i="6" s="1"/>
  <c r="X10" i="6" s="1"/>
  <c r="X11" i="6" s="1"/>
  <c r="X12" i="6" s="1"/>
  <c r="X13" i="6" s="1"/>
  <c r="X14" i="6" s="1"/>
  <c r="X15" i="6" s="1"/>
  <c r="X16" i="6" s="1"/>
  <c r="X17" i="6" s="1"/>
  <c r="X18" i="6" s="1"/>
  <c r="X19" i="6" s="1"/>
  <c r="X20" i="6" s="1"/>
  <c r="X21" i="6" s="1"/>
  <c r="X22" i="6" s="1"/>
  <c r="X23" i="6" s="1"/>
  <c r="X24" i="6" s="1"/>
  <c r="X25" i="6" s="1"/>
  <c r="X26" i="6" s="1"/>
  <c r="X27" i="6" s="1"/>
  <c r="X28" i="6" s="1"/>
  <c r="X29" i="6" s="1"/>
  <c r="X30" i="6" s="1"/>
  <c r="R77" i="2"/>
  <c r="Q77" i="2"/>
  <c r="P77" i="2"/>
  <c r="O77" i="2"/>
  <c r="F77" i="2"/>
  <c r="N77" i="2" s="1"/>
  <c r="AA77" i="2" s="1"/>
  <c r="AB77" i="2" s="1"/>
  <c r="R76" i="2"/>
  <c r="Q76" i="2"/>
  <c r="P76" i="2"/>
  <c r="O76" i="2"/>
  <c r="F76" i="2"/>
  <c r="H76" i="2" s="1"/>
  <c r="I76" i="2" s="1"/>
  <c r="J76" i="2" s="1"/>
  <c r="R75" i="2"/>
  <c r="Q75" i="2"/>
  <c r="P75" i="2"/>
  <c r="O75" i="2"/>
  <c r="F75" i="2"/>
  <c r="N75" i="2" s="1"/>
  <c r="AA75" i="2" s="1"/>
  <c r="AB75" i="2" s="1"/>
  <c r="R74" i="2"/>
  <c r="Q74" i="2"/>
  <c r="P74" i="2"/>
  <c r="O74" i="2"/>
  <c r="F74" i="2"/>
  <c r="H74" i="2" s="1"/>
  <c r="I74" i="2" s="1"/>
  <c r="J74" i="2" s="1"/>
  <c r="R73" i="2"/>
  <c r="Q73" i="2"/>
  <c r="P73" i="2"/>
  <c r="O73" i="2"/>
  <c r="F73" i="2"/>
  <c r="N73" i="2" s="1"/>
  <c r="O67" i="2"/>
  <c r="O68" i="2"/>
  <c r="O69" i="2"/>
  <c r="O70" i="2"/>
  <c r="O66" i="2"/>
  <c r="M67" i="2"/>
  <c r="M68" i="2"/>
  <c r="M69" i="2"/>
  <c r="M70" i="2"/>
  <c r="M66" i="2"/>
  <c r="G67" i="2"/>
  <c r="G68" i="2"/>
  <c r="G69" i="2"/>
  <c r="G70" i="2"/>
  <c r="G66" i="2"/>
  <c r="AC75" i="2" l="1"/>
  <c r="AD75" i="2"/>
  <c r="E67" i="5" s="1"/>
  <c r="J67" i="5" s="1"/>
  <c r="AC77" i="2"/>
  <c r="AD77" i="2"/>
  <c r="E69" i="5" s="1"/>
  <c r="J69" i="5" s="1"/>
  <c r="H77" i="2"/>
  <c r="I77" i="2" s="1"/>
  <c r="J77" i="2" s="1"/>
  <c r="AA73" i="2"/>
  <c r="AB73" i="2" s="1"/>
  <c r="H75" i="2"/>
  <c r="I75" i="2" s="1"/>
  <c r="J75" i="2" s="1"/>
  <c r="H73" i="2"/>
  <c r="I73" i="2" s="1"/>
  <c r="J73" i="2" s="1"/>
  <c r="K73" i="2" s="1"/>
  <c r="L76" i="2"/>
  <c r="C68" i="5" s="1"/>
  <c r="H68" i="5" s="1"/>
  <c r="K76" i="2"/>
  <c r="U73" i="2"/>
  <c r="T73" i="2"/>
  <c r="S73" i="2"/>
  <c r="S77" i="2"/>
  <c r="U77" i="2"/>
  <c r="T77" i="2"/>
  <c r="L73" i="2"/>
  <c r="C65" i="5" s="1"/>
  <c r="H65" i="5" s="1"/>
  <c r="U75" i="2"/>
  <c r="T75" i="2"/>
  <c r="S75" i="2"/>
  <c r="V75" i="2" s="1"/>
  <c r="K77" i="2"/>
  <c r="L77" i="2"/>
  <c r="C69" i="5" s="1"/>
  <c r="H69" i="5" s="1"/>
  <c r="L74" i="2"/>
  <c r="C66" i="5" s="1"/>
  <c r="H66" i="5" s="1"/>
  <c r="K74" i="2"/>
  <c r="L75" i="2"/>
  <c r="C67" i="5" s="1"/>
  <c r="H67" i="5" s="1"/>
  <c r="K75" i="2"/>
  <c r="N74" i="2"/>
  <c r="AA74" i="2" s="1"/>
  <c r="AB74" i="2" s="1"/>
  <c r="N76" i="2"/>
  <c r="AA76" i="2" s="1"/>
  <c r="AB76" i="2" s="1"/>
  <c r="R70" i="2"/>
  <c r="Q70" i="2"/>
  <c r="P70" i="2"/>
  <c r="F70" i="2"/>
  <c r="N70" i="2" s="1"/>
  <c r="AA70" i="2" s="1"/>
  <c r="AB70" i="2" s="1"/>
  <c r="R69" i="2"/>
  <c r="Q69" i="2"/>
  <c r="P69" i="2"/>
  <c r="F69" i="2"/>
  <c r="H69" i="2" s="1"/>
  <c r="I69" i="2" s="1"/>
  <c r="J69" i="2" s="1"/>
  <c r="R68" i="2"/>
  <c r="Q68" i="2"/>
  <c r="P68" i="2"/>
  <c r="F68" i="2"/>
  <c r="N68" i="2" s="1"/>
  <c r="AA68" i="2" s="1"/>
  <c r="AB68" i="2" s="1"/>
  <c r="R67" i="2"/>
  <c r="Q67" i="2"/>
  <c r="P67" i="2"/>
  <c r="F67" i="2"/>
  <c r="H67" i="2" s="1"/>
  <c r="I67" i="2" s="1"/>
  <c r="J67" i="2" s="1"/>
  <c r="R66" i="2"/>
  <c r="Q66" i="2"/>
  <c r="P66" i="2"/>
  <c r="F66" i="2"/>
  <c r="N66" i="2" s="1"/>
  <c r="AA66" i="2" s="1"/>
  <c r="AB66" i="2" s="1"/>
  <c r="T53" i="2"/>
  <c r="V53" i="2" s="1"/>
  <c r="W53" i="2" s="1"/>
  <c r="X53" i="2" s="1"/>
  <c r="T54" i="2"/>
  <c r="V54" i="2" s="1"/>
  <c r="W54" i="2" s="1"/>
  <c r="X54" i="2" s="1"/>
  <c r="T55" i="2"/>
  <c r="T56" i="2"/>
  <c r="AA56" i="2" s="1"/>
  <c r="AB56" i="2" s="1"/>
  <c r="T52" i="2"/>
  <c r="AA52" i="2" s="1"/>
  <c r="AB52" i="2" s="1"/>
  <c r="AA54" i="2"/>
  <c r="AB54" i="2" s="1"/>
  <c r="AA55" i="2"/>
  <c r="AB55" i="2" s="1"/>
  <c r="V55" i="2"/>
  <c r="W55" i="2" s="1"/>
  <c r="X55" i="2" s="1"/>
  <c r="R59" i="2"/>
  <c r="R60" i="2"/>
  <c r="R61" i="2"/>
  <c r="R62" i="2"/>
  <c r="R63" i="2"/>
  <c r="Q60" i="2"/>
  <c r="Q61" i="2"/>
  <c r="Q62" i="2"/>
  <c r="Q63" i="2"/>
  <c r="Q59" i="2"/>
  <c r="P60" i="2"/>
  <c r="P61" i="2"/>
  <c r="P62" i="2"/>
  <c r="P63" i="2"/>
  <c r="P59" i="2"/>
  <c r="O60" i="2"/>
  <c r="O61" i="2"/>
  <c r="O62" i="2"/>
  <c r="O63" i="2"/>
  <c r="O59" i="2"/>
  <c r="M60" i="2"/>
  <c r="M61" i="2"/>
  <c r="M62" i="2"/>
  <c r="M63" i="2"/>
  <c r="M59" i="2"/>
  <c r="G60" i="2"/>
  <c r="G61" i="2"/>
  <c r="G62" i="2"/>
  <c r="G63" i="2"/>
  <c r="G59" i="2"/>
  <c r="F60" i="2"/>
  <c r="F61" i="2"/>
  <c r="F62" i="2"/>
  <c r="H62" i="2" s="1"/>
  <c r="I62" i="2" s="1"/>
  <c r="J62" i="2" s="1"/>
  <c r="F63" i="2"/>
  <c r="H63" i="2" s="1"/>
  <c r="I63" i="2" s="1"/>
  <c r="J63" i="2" s="1"/>
  <c r="F59" i="2"/>
  <c r="AD52" i="2" l="1"/>
  <c r="E47" i="5" s="1"/>
  <c r="J47" i="5" s="1"/>
  <c r="AC52" i="2"/>
  <c r="AD68" i="2"/>
  <c r="E61" i="5" s="1"/>
  <c r="J61" i="5" s="1"/>
  <c r="AC68" i="2"/>
  <c r="AA53" i="2"/>
  <c r="AB53" i="2" s="1"/>
  <c r="H59" i="2"/>
  <c r="I59" i="2" s="1"/>
  <c r="J59" i="2" s="1"/>
  <c r="V52" i="2"/>
  <c r="W52" i="2" s="1"/>
  <c r="X52" i="2" s="1"/>
  <c r="V77" i="2"/>
  <c r="AD66" i="2"/>
  <c r="E59" i="5" s="1"/>
  <c r="J59" i="5" s="1"/>
  <c r="AC66" i="2"/>
  <c r="AC56" i="2"/>
  <c r="AD56" i="2"/>
  <c r="E51" i="5" s="1"/>
  <c r="J51" i="5" s="1"/>
  <c r="AD74" i="2"/>
  <c r="E66" i="5" s="1"/>
  <c r="J66" i="5" s="1"/>
  <c r="AC74" i="2"/>
  <c r="AC73" i="2"/>
  <c r="AD73" i="2"/>
  <c r="E65" i="5" s="1"/>
  <c r="J65" i="5" s="1"/>
  <c r="AC54" i="2"/>
  <c r="AD54" i="2"/>
  <c r="E49" i="5" s="1"/>
  <c r="J49" i="5" s="1"/>
  <c r="AC76" i="2"/>
  <c r="AD76" i="2"/>
  <c r="E68" i="5" s="1"/>
  <c r="J68" i="5" s="1"/>
  <c r="H60" i="2"/>
  <c r="I60" i="2" s="1"/>
  <c r="J60" i="2" s="1"/>
  <c r="AC55" i="2"/>
  <c r="AD55" i="2"/>
  <c r="E50" i="5" s="1"/>
  <c r="J50" i="5" s="1"/>
  <c r="AC70" i="2"/>
  <c r="AD70" i="2"/>
  <c r="E63" i="5" s="1"/>
  <c r="J63" i="5" s="1"/>
  <c r="L67" i="2"/>
  <c r="C60" i="5" s="1"/>
  <c r="H60" i="5" s="1"/>
  <c r="K67" i="2"/>
  <c r="K69" i="2"/>
  <c r="L69" i="2"/>
  <c r="C62" i="5" s="1"/>
  <c r="H62" i="5" s="1"/>
  <c r="H66" i="2"/>
  <c r="I66" i="2" s="1"/>
  <c r="J66" i="2" s="1"/>
  <c r="K66" i="2" s="1"/>
  <c r="U76" i="2"/>
  <c r="T76" i="2"/>
  <c r="S76" i="2"/>
  <c r="W75" i="2"/>
  <c r="X75" i="2" s="1"/>
  <c r="W77" i="2"/>
  <c r="X77" i="2" s="1"/>
  <c r="T74" i="2"/>
  <c r="S74" i="2"/>
  <c r="U74" i="2"/>
  <c r="V73" i="2"/>
  <c r="H70" i="2"/>
  <c r="I70" i="2" s="1"/>
  <c r="J70" i="2" s="1"/>
  <c r="H68" i="2"/>
  <c r="I68" i="2" s="1"/>
  <c r="J68" i="2" s="1"/>
  <c r="S66" i="2"/>
  <c r="U66" i="2"/>
  <c r="T66" i="2"/>
  <c r="L66" i="2"/>
  <c r="C59" i="5" s="1"/>
  <c r="H59" i="5" s="1"/>
  <c r="S70" i="2"/>
  <c r="U70" i="2"/>
  <c r="T70" i="2"/>
  <c r="S68" i="2"/>
  <c r="U68" i="2"/>
  <c r="T68" i="2"/>
  <c r="N67" i="2"/>
  <c r="AA67" i="2" s="1"/>
  <c r="AB67" i="2" s="1"/>
  <c r="N69" i="2"/>
  <c r="AA69" i="2" s="1"/>
  <c r="AB69" i="2" s="1"/>
  <c r="Z53" i="2"/>
  <c r="D48" i="5" s="1"/>
  <c r="I48" i="5" s="1"/>
  <c r="K48" i="5" s="1"/>
  <c r="Y53" i="2"/>
  <c r="Y55" i="2"/>
  <c r="Z55" i="2"/>
  <c r="D50" i="5" s="1"/>
  <c r="I50" i="5" s="1"/>
  <c r="K50" i="5" s="1"/>
  <c r="Z54" i="2"/>
  <c r="D49" i="5" s="1"/>
  <c r="I49" i="5" s="1"/>
  <c r="K49" i="5" s="1"/>
  <c r="Y54" i="2"/>
  <c r="V56" i="2"/>
  <c r="W56" i="2" s="1"/>
  <c r="X56" i="2" s="1"/>
  <c r="Z52" i="2"/>
  <c r="D47" i="5" s="1"/>
  <c r="I47" i="5" s="1"/>
  <c r="K47" i="5" s="1"/>
  <c r="Y52" i="2"/>
  <c r="H61" i="2"/>
  <c r="I61" i="2" s="1"/>
  <c r="J61" i="2" s="1"/>
  <c r="V76" i="2" l="1"/>
  <c r="AC53" i="2"/>
  <c r="AD53" i="2"/>
  <c r="E48" i="5" s="1"/>
  <c r="J48" i="5" s="1"/>
  <c r="AC69" i="2"/>
  <c r="AD69" i="2"/>
  <c r="E62" i="5" s="1"/>
  <c r="J62" i="5" s="1"/>
  <c r="AC67" i="2"/>
  <c r="AD67" i="2"/>
  <c r="E60" i="5" s="1"/>
  <c r="J60" i="5" s="1"/>
  <c r="V74" i="2"/>
  <c r="L68" i="2"/>
  <c r="C61" i="5" s="1"/>
  <c r="H61" i="5" s="1"/>
  <c r="K68" i="2"/>
  <c r="L70" i="2"/>
  <c r="C63" i="5" s="1"/>
  <c r="H63" i="5" s="1"/>
  <c r="K70" i="2"/>
  <c r="Z75" i="2"/>
  <c r="D67" i="5" s="1"/>
  <c r="I67" i="5" s="1"/>
  <c r="K67" i="5" s="1"/>
  <c r="Y75" i="2"/>
  <c r="W74" i="2"/>
  <c r="X74" i="2" s="1"/>
  <c r="W76" i="2"/>
  <c r="X76" i="2" s="1"/>
  <c r="Z77" i="2"/>
  <c r="D69" i="5" s="1"/>
  <c r="I69" i="5" s="1"/>
  <c r="K69" i="5" s="1"/>
  <c r="Y77" i="2"/>
  <c r="W73" i="2"/>
  <c r="X73" i="2" s="1"/>
  <c r="V68" i="2"/>
  <c r="V70" i="2"/>
  <c r="W70" i="2" s="1"/>
  <c r="X70" i="2" s="1"/>
  <c r="U69" i="2"/>
  <c r="T69" i="2"/>
  <c r="S69" i="2"/>
  <c r="W68" i="2"/>
  <c r="X68" i="2" s="1"/>
  <c r="U67" i="2"/>
  <c r="T67" i="2"/>
  <c r="S67" i="2"/>
  <c r="V66" i="2"/>
  <c r="Z56" i="2"/>
  <c r="D51" i="5" s="1"/>
  <c r="I51" i="5" s="1"/>
  <c r="K51" i="5" s="1"/>
  <c r="Y56" i="2"/>
  <c r="N61" i="2"/>
  <c r="N63" i="2"/>
  <c r="F53" i="2"/>
  <c r="G53" i="2" s="1"/>
  <c r="F54" i="2"/>
  <c r="G54" i="2" s="1"/>
  <c r="F55" i="2"/>
  <c r="G55" i="2" s="1"/>
  <c r="F56" i="2"/>
  <c r="G56" i="2" s="1"/>
  <c r="F52" i="2"/>
  <c r="G52" i="2" s="1"/>
  <c r="F46" i="2"/>
  <c r="F47" i="2"/>
  <c r="F48" i="2"/>
  <c r="F49" i="2"/>
  <c r="F45" i="2"/>
  <c r="U49" i="2"/>
  <c r="M49" i="2"/>
  <c r="N49" i="2" s="1"/>
  <c r="E49" i="2"/>
  <c r="U48" i="2"/>
  <c r="M48" i="2"/>
  <c r="N48" i="2" s="1"/>
  <c r="E48" i="2"/>
  <c r="G48" i="2" s="1"/>
  <c r="H48" i="2" s="1"/>
  <c r="U47" i="2"/>
  <c r="M47" i="2"/>
  <c r="N47" i="2" s="1"/>
  <c r="E47" i="2"/>
  <c r="U46" i="2"/>
  <c r="M46" i="2"/>
  <c r="N46" i="2" s="1"/>
  <c r="E46" i="2"/>
  <c r="G46" i="2" s="1"/>
  <c r="H46" i="2" s="1"/>
  <c r="U45" i="2"/>
  <c r="M45" i="2"/>
  <c r="N45" i="2" s="1"/>
  <c r="E45" i="2"/>
  <c r="F39" i="2"/>
  <c r="F40" i="2"/>
  <c r="F41" i="2"/>
  <c r="F42" i="2"/>
  <c r="F38" i="2"/>
  <c r="AA63" i="2" l="1"/>
  <c r="AB63" i="2" s="1"/>
  <c r="U63" i="2"/>
  <c r="T63" i="2"/>
  <c r="AA61" i="2"/>
  <c r="AB61" i="2" s="1"/>
  <c r="T61" i="2"/>
  <c r="U61" i="2"/>
  <c r="K61" i="5"/>
  <c r="Y76" i="2"/>
  <c r="Z76" i="2"/>
  <c r="D68" i="5" s="1"/>
  <c r="I68" i="5" s="1"/>
  <c r="K68" i="5" s="1"/>
  <c r="Z73" i="2"/>
  <c r="D65" i="5" s="1"/>
  <c r="I65" i="5" s="1"/>
  <c r="K65" i="5" s="1"/>
  <c r="Y73" i="2"/>
  <c r="Z74" i="2"/>
  <c r="D66" i="5" s="1"/>
  <c r="I66" i="5" s="1"/>
  <c r="K66" i="5" s="1"/>
  <c r="Y74" i="2"/>
  <c r="V67" i="2"/>
  <c r="Z70" i="2"/>
  <c r="D63" i="5" s="1"/>
  <c r="I63" i="5" s="1"/>
  <c r="K63" i="5" s="1"/>
  <c r="Y70" i="2"/>
  <c r="V69" i="2"/>
  <c r="Z68" i="2"/>
  <c r="D61" i="5" s="1"/>
  <c r="I61" i="5" s="1"/>
  <c r="Y68" i="2"/>
  <c r="W66" i="2"/>
  <c r="X66" i="2" s="1"/>
  <c r="G47" i="2"/>
  <c r="H47" i="2" s="1"/>
  <c r="S61" i="2"/>
  <c r="V61" i="2" s="1"/>
  <c r="W61" i="2" s="1"/>
  <c r="N60" i="2"/>
  <c r="S63" i="2"/>
  <c r="V63" i="2" s="1"/>
  <c r="W63" i="2" s="1"/>
  <c r="N62" i="2"/>
  <c r="N59" i="2"/>
  <c r="G49" i="2"/>
  <c r="H49" i="2" s="1"/>
  <c r="J49" i="2" s="1"/>
  <c r="B45" i="5" s="1"/>
  <c r="G45" i="5" s="1"/>
  <c r="G45" i="2"/>
  <c r="H45" i="2" s="1"/>
  <c r="J45" i="2" s="1"/>
  <c r="B41" i="5" s="1"/>
  <c r="G41" i="5" s="1"/>
  <c r="J48" i="2"/>
  <c r="B44" i="5" s="1"/>
  <c r="G44" i="5" s="1"/>
  <c r="I48" i="2"/>
  <c r="J46" i="2"/>
  <c r="B42" i="5" s="1"/>
  <c r="G42" i="5" s="1"/>
  <c r="I46" i="2"/>
  <c r="J47" i="2"/>
  <c r="B43" i="5" s="1"/>
  <c r="G43" i="5" s="1"/>
  <c r="I47" i="2"/>
  <c r="T45" i="2"/>
  <c r="T46" i="2"/>
  <c r="T47" i="2"/>
  <c r="O48" i="2"/>
  <c r="P48" i="2" s="1"/>
  <c r="T48" i="2"/>
  <c r="T49" i="2"/>
  <c r="O45" i="2"/>
  <c r="P45" i="2" s="1"/>
  <c r="O46" i="2"/>
  <c r="P46" i="2" s="1"/>
  <c r="O47" i="2"/>
  <c r="P47" i="2" s="1"/>
  <c r="O49" i="2"/>
  <c r="P49" i="2" s="1"/>
  <c r="U42" i="2"/>
  <c r="M42" i="2"/>
  <c r="N42" i="2" s="1"/>
  <c r="E42" i="2"/>
  <c r="T42" i="2" s="1"/>
  <c r="U41" i="2"/>
  <c r="M41" i="2"/>
  <c r="N41" i="2" s="1"/>
  <c r="E41" i="2"/>
  <c r="U40" i="2"/>
  <c r="M40" i="2"/>
  <c r="N40" i="2" s="1"/>
  <c r="E40" i="2"/>
  <c r="U39" i="2"/>
  <c r="M39" i="2"/>
  <c r="N39" i="2" s="1"/>
  <c r="E39" i="2"/>
  <c r="U38" i="2"/>
  <c r="M38" i="2"/>
  <c r="N38" i="2" s="1"/>
  <c r="E38" i="2"/>
  <c r="T38" i="2" s="1"/>
  <c r="F32" i="2"/>
  <c r="F33" i="2"/>
  <c r="F34" i="2"/>
  <c r="F35" i="2"/>
  <c r="F31" i="2"/>
  <c r="AA62" i="2" l="1"/>
  <c r="AB62" i="2" s="1"/>
  <c r="T62" i="2"/>
  <c r="U62" i="2"/>
  <c r="AA60" i="2"/>
  <c r="AB60" i="2" s="1"/>
  <c r="U60" i="2"/>
  <c r="T60" i="2"/>
  <c r="AC61" i="2"/>
  <c r="AD61" i="2"/>
  <c r="E55" i="5" s="1"/>
  <c r="J55" i="5" s="1"/>
  <c r="AA59" i="2"/>
  <c r="AB59" i="2" s="1"/>
  <c r="U59" i="2"/>
  <c r="T59" i="2"/>
  <c r="AC63" i="2"/>
  <c r="AD63" i="2"/>
  <c r="E57" i="5" s="1"/>
  <c r="J57" i="5" s="1"/>
  <c r="Z66" i="2"/>
  <c r="D59" i="5" s="1"/>
  <c r="I59" i="5" s="1"/>
  <c r="K59" i="5" s="1"/>
  <c r="Y66" i="2"/>
  <c r="W69" i="2"/>
  <c r="X69" i="2" s="1"/>
  <c r="W67" i="2"/>
  <c r="X67" i="2" s="1"/>
  <c r="I49" i="2"/>
  <c r="I45" i="2"/>
  <c r="S59" i="2"/>
  <c r="V59" i="2" s="1"/>
  <c r="W59" i="2" s="1"/>
  <c r="S60" i="2"/>
  <c r="V60" i="2" s="1"/>
  <c r="W60" i="2" s="1"/>
  <c r="S62" i="2"/>
  <c r="V62" i="2" s="1"/>
  <c r="W62" i="2" s="1"/>
  <c r="R49" i="2"/>
  <c r="C45" i="5" s="1"/>
  <c r="H45" i="5" s="1"/>
  <c r="Q49" i="2"/>
  <c r="AA49" i="2"/>
  <c r="AB49" i="2" s="1"/>
  <c r="V49" i="2"/>
  <c r="W49" i="2" s="1"/>
  <c r="X49" i="2" s="1"/>
  <c r="R47" i="2"/>
  <c r="C43" i="5" s="1"/>
  <c r="H43" i="5" s="1"/>
  <c r="Q47" i="2"/>
  <c r="AA48" i="2"/>
  <c r="AB48" i="2" s="1"/>
  <c r="V48" i="2"/>
  <c r="W48" i="2" s="1"/>
  <c r="X48" i="2" s="1"/>
  <c r="AA45" i="2"/>
  <c r="AB45" i="2" s="1"/>
  <c r="V45" i="2"/>
  <c r="W45" i="2" s="1"/>
  <c r="X45" i="2" s="1"/>
  <c r="R46" i="2"/>
  <c r="C42" i="5" s="1"/>
  <c r="H42" i="5" s="1"/>
  <c r="Q46" i="2"/>
  <c r="R48" i="2"/>
  <c r="C44" i="5" s="1"/>
  <c r="H44" i="5" s="1"/>
  <c r="Q48" i="2"/>
  <c r="AA46" i="2"/>
  <c r="AB46" i="2" s="1"/>
  <c r="V46" i="2"/>
  <c r="W46" i="2" s="1"/>
  <c r="X46" i="2" s="1"/>
  <c r="R45" i="2"/>
  <c r="C41" i="5" s="1"/>
  <c r="H41" i="5" s="1"/>
  <c r="Q45" i="2"/>
  <c r="AA47" i="2"/>
  <c r="AB47" i="2" s="1"/>
  <c r="V47" i="2"/>
  <c r="W47" i="2" s="1"/>
  <c r="X47" i="2" s="1"/>
  <c r="O38" i="2"/>
  <c r="P38" i="2" s="1"/>
  <c r="R38" i="2" s="1"/>
  <c r="AA38" i="2"/>
  <c r="AB38" i="2" s="1"/>
  <c r="V38" i="2"/>
  <c r="W38" i="2" s="1"/>
  <c r="X38" i="2" s="1"/>
  <c r="AA42" i="2"/>
  <c r="AB42" i="2" s="1"/>
  <c r="V42" i="2"/>
  <c r="W42" i="2" s="1"/>
  <c r="X42" i="2" s="1"/>
  <c r="G39" i="2"/>
  <c r="H39" i="2" s="1"/>
  <c r="T39" i="2"/>
  <c r="O39" i="2"/>
  <c r="P39" i="2" s="1"/>
  <c r="G40" i="2"/>
  <c r="H40" i="2" s="1"/>
  <c r="T40" i="2"/>
  <c r="O40" i="2"/>
  <c r="P40" i="2" s="1"/>
  <c r="T41" i="2"/>
  <c r="O41" i="2"/>
  <c r="P41" i="2" s="1"/>
  <c r="G41" i="2"/>
  <c r="H41" i="2" s="1"/>
  <c r="O42" i="2"/>
  <c r="P42" i="2" s="1"/>
  <c r="G38" i="2"/>
  <c r="H38" i="2" s="1"/>
  <c r="G42" i="2"/>
  <c r="H42" i="2" s="1"/>
  <c r="B32" i="2"/>
  <c r="E32" i="2" s="1"/>
  <c r="B33" i="2"/>
  <c r="E33" i="2" s="1"/>
  <c r="B34" i="2"/>
  <c r="E34" i="2" s="1"/>
  <c r="B35" i="2"/>
  <c r="E35" i="2" s="1"/>
  <c r="G35" i="2" s="1"/>
  <c r="H35" i="2" s="1"/>
  <c r="B31" i="2"/>
  <c r="E31" i="2" s="1"/>
  <c r="U35" i="2"/>
  <c r="M35" i="2"/>
  <c r="N35" i="2" s="1"/>
  <c r="U34" i="2"/>
  <c r="M34" i="2"/>
  <c r="N34" i="2" s="1"/>
  <c r="U33" i="2"/>
  <c r="M33" i="2"/>
  <c r="N33" i="2" s="1"/>
  <c r="U32" i="2"/>
  <c r="M32" i="2"/>
  <c r="N32" i="2" s="1"/>
  <c r="U31" i="2"/>
  <c r="M31" i="2"/>
  <c r="N31" i="2" s="1"/>
  <c r="F25" i="2"/>
  <c r="F26" i="2"/>
  <c r="F27" i="2"/>
  <c r="F28" i="2"/>
  <c r="F24" i="2"/>
  <c r="AC47" i="2" l="1"/>
  <c r="AD47" i="2"/>
  <c r="E43" i="5" s="1"/>
  <c r="J43" i="5" s="1"/>
  <c r="AD59" i="2"/>
  <c r="E53" i="5" s="1"/>
  <c r="J53" i="5" s="1"/>
  <c r="AC59" i="2"/>
  <c r="AC60" i="2"/>
  <c r="AD60" i="2"/>
  <c r="E54" i="5" s="1"/>
  <c r="J54" i="5" s="1"/>
  <c r="AD45" i="2"/>
  <c r="E41" i="5" s="1"/>
  <c r="J41" i="5" s="1"/>
  <c r="AC45" i="2"/>
  <c r="AD42" i="2"/>
  <c r="E39" i="5" s="1"/>
  <c r="J39" i="5" s="1"/>
  <c r="AC42" i="2"/>
  <c r="AC49" i="2"/>
  <c r="AD49" i="2"/>
  <c r="E45" i="5" s="1"/>
  <c r="J45" i="5" s="1"/>
  <c r="AC46" i="2"/>
  <c r="AD46" i="2"/>
  <c r="E42" i="5" s="1"/>
  <c r="J42" i="5" s="1"/>
  <c r="AC48" i="2"/>
  <c r="AD48" i="2"/>
  <c r="E44" i="5" s="1"/>
  <c r="J44" i="5" s="1"/>
  <c r="AD38" i="2"/>
  <c r="E35" i="5" s="1"/>
  <c r="J35" i="5" s="1"/>
  <c r="AC38" i="2"/>
  <c r="AC62" i="2"/>
  <c r="AD62" i="2"/>
  <c r="E56" i="5" s="1"/>
  <c r="J56" i="5" s="1"/>
  <c r="Y67" i="2"/>
  <c r="Z67" i="2"/>
  <c r="D60" i="5" s="1"/>
  <c r="I60" i="5" s="1"/>
  <c r="K60" i="5" s="1"/>
  <c r="Y69" i="2"/>
  <c r="Z69" i="2"/>
  <c r="D62" i="5" s="1"/>
  <c r="I62" i="5" s="1"/>
  <c r="K62" i="5" s="1"/>
  <c r="Q38" i="2"/>
  <c r="X62" i="2"/>
  <c r="Z47" i="2"/>
  <c r="D43" i="5" s="1"/>
  <c r="I43" i="5" s="1"/>
  <c r="K43" i="5" s="1"/>
  <c r="D87" i="5" s="1"/>
  <c r="Y47" i="2"/>
  <c r="Z46" i="2"/>
  <c r="D42" i="5" s="1"/>
  <c r="I42" i="5" s="1"/>
  <c r="K42" i="5" s="1"/>
  <c r="C87" i="5" s="1"/>
  <c r="Y46" i="2"/>
  <c r="Z48" i="2"/>
  <c r="D44" i="5" s="1"/>
  <c r="I44" i="5" s="1"/>
  <c r="K44" i="5" s="1"/>
  <c r="E87" i="5" s="1"/>
  <c r="Y48" i="2"/>
  <c r="Z49" i="2"/>
  <c r="D45" i="5" s="1"/>
  <c r="I45" i="5" s="1"/>
  <c r="K45" i="5" s="1"/>
  <c r="F87" i="5" s="1"/>
  <c r="Y49" i="2"/>
  <c r="Z45" i="2"/>
  <c r="D41" i="5" s="1"/>
  <c r="I41" i="5" s="1"/>
  <c r="K41" i="5" s="1"/>
  <c r="B87" i="5" s="1"/>
  <c r="Y45" i="2"/>
  <c r="R42" i="2"/>
  <c r="Q42" i="2"/>
  <c r="I41" i="2"/>
  <c r="J41" i="2"/>
  <c r="B38" i="5" s="1"/>
  <c r="G38" i="5" s="1"/>
  <c r="AA40" i="2"/>
  <c r="AB40" i="2" s="1"/>
  <c r="V40" i="2"/>
  <c r="W40" i="2" s="1"/>
  <c r="X40" i="2" s="1"/>
  <c r="J39" i="2"/>
  <c r="B36" i="5" s="1"/>
  <c r="G36" i="5" s="1"/>
  <c r="I39" i="2"/>
  <c r="V39" i="2"/>
  <c r="W39" i="2" s="1"/>
  <c r="X39" i="2" s="1"/>
  <c r="AA39" i="2"/>
  <c r="AB39" i="2" s="1"/>
  <c r="I42" i="2"/>
  <c r="J42" i="2"/>
  <c r="B39" i="5" s="1"/>
  <c r="G39" i="5" s="1"/>
  <c r="R41" i="2"/>
  <c r="Q41" i="2"/>
  <c r="J40" i="2"/>
  <c r="B37" i="5" s="1"/>
  <c r="G37" i="5" s="1"/>
  <c r="I40" i="2"/>
  <c r="Z42" i="2"/>
  <c r="Y42" i="2"/>
  <c r="Y38" i="2"/>
  <c r="Z38" i="2"/>
  <c r="R40" i="2"/>
  <c r="Q40" i="2"/>
  <c r="J38" i="2"/>
  <c r="B35" i="5" s="1"/>
  <c r="G35" i="5" s="1"/>
  <c r="I38" i="2"/>
  <c r="AA41" i="2"/>
  <c r="AB41" i="2" s="1"/>
  <c r="V41" i="2"/>
  <c r="W41" i="2" s="1"/>
  <c r="X41" i="2" s="1"/>
  <c r="Q39" i="2"/>
  <c r="R39" i="2"/>
  <c r="I35" i="2"/>
  <c r="J35" i="2"/>
  <c r="B33" i="5" s="1"/>
  <c r="G33" i="5" s="1"/>
  <c r="O31" i="2"/>
  <c r="P31" i="2" s="1"/>
  <c r="G32" i="2"/>
  <c r="H32" i="2" s="1"/>
  <c r="T32" i="2"/>
  <c r="O32" i="2"/>
  <c r="P32" i="2" s="1"/>
  <c r="G33" i="2"/>
  <c r="H33" i="2" s="1"/>
  <c r="T33" i="2"/>
  <c r="O33" i="2"/>
  <c r="P33" i="2" s="1"/>
  <c r="T34" i="2"/>
  <c r="O34" i="2"/>
  <c r="P34" i="2" s="1"/>
  <c r="G34" i="2"/>
  <c r="H34" i="2" s="1"/>
  <c r="T31" i="2"/>
  <c r="T35" i="2"/>
  <c r="O35" i="2"/>
  <c r="P35" i="2" s="1"/>
  <c r="G31" i="2"/>
  <c r="H31" i="2" s="1"/>
  <c r="B25" i="2"/>
  <c r="E25" i="2" s="1"/>
  <c r="B26" i="2"/>
  <c r="E26" i="2" s="1"/>
  <c r="B27" i="2"/>
  <c r="E27" i="2" s="1"/>
  <c r="B28" i="2"/>
  <c r="E28" i="2" s="1"/>
  <c r="B24" i="2"/>
  <c r="E24" i="2" s="1"/>
  <c r="U28" i="2"/>
  <c r="M28" i="2"/>
  <c r="U27" i="2"/>
  <c r="M27" i="2"/>
  <c r="U26" i="2"/>
  <c r="M26" i="2"/>
  <c r="U25" i="2"/>
  <c r="M25" i="2"/>
  <c r="U24" i="2"/>
  <c r="M24" i="2"/>
  <c r="CD18" i="2"/>
  <c r="CD19" i="2"/>
  <c r="CD20" i="2"/>
  <c r="CD21" i="2"/>
  <c r="CD17" i="2"/>
  <c r="CC18" i="2"/>
  <c r="CC19" i="2"/>
  <c r="CC20" i="2"/>
  <c r="CC21" i="2"/>
  <c r="CC17" i="2"/>
  <c r="BG18" i="2"/>
  <c r="BG19" i="2"/>
  <c r="BG20" i="2"/>
  <c r="BG21" i="2"/>
  <c r="BH18" i="2"/>
  <c r="BH19" i="2"/>
  <c r="BH20" i="2"/>
  <c r="BH21" i="2"/>
  <c r="BH17" i="2"/>
  <c r="BG17" i="2"/>
  <c r="BF18" i="2"/>
  <c r="BF19" i="2"/>
  <c r="BF20" i="2"/>
  <c r="BF21" i="2"/>
  <c r="BE18" i="2"/>
  <c r="BE19" i="2"/>
  <c r="BE20" i="2"/>
  <c r="BE21" i="2"/>
  <c r="BF17" i="2"/>
  <c r="BE17" i="2"/>
  <c r="BD18" i="2"/>
  <c r="BD19" i="2"/>
  <c r="BD20" i="2"/>
  <c r="BD21" i="2"/>
  <c r="BD17" i="2"/>
  <c r="BC18" i="2"/>
  <c r="BC19" i="2"/>
  <c r="BC20" i="2"/>
  <c r="BC21" i="2"/>
  <c r="BC17" i="2"/>
  <c r="AM18" i="2"/>
  <c r="AM19" i="2"/>
  <c r="AM20" i="2"/>
  <c r="AM21" i="2"/>
  <c r="AM17" i="2"/>
  <c r="AL18" i="2"/>
  <c r="AL19" i="2"/>
  <c r="AL20" i="2"/>
  <c r="AL21" i="2"/>
  <c r="AL17" i="2"/>
  <c r="X18" i="2"/>
  <c r="X19" i="2"/>
  <c r="X20" i="2"/>
  <c r="X21" i="2"/>
  <c r="X17" i="2"/>
  <c r="W11" i="2"/>
  <c r="W12" i="2"/>
  <c r="W13" i="2"/>
  <c r="W14" i="2"/>
  <c r="W10" i="2"/>
  <c r="AC40" i="2" l="1"/>
  <c r="AD40" i="2"/>
  <c r="E37" i="5" s="1"/>
  <c r="J37" i="5" s="1"/>
  <c r="AC39" i="2"/>
  <c r="AD39" i="2"/>
  <c r="E36" i="5" s="1"/>
  <c r="J36" i="5" s="1"/>
  <c r="AD41" i="2"/>
  <c r="E38" i="5" s="1"/>
  <c r="J38" i="5" s="1"/>
  <c r="AC41" i="2"/>
  <c r="X60" i="2"/>
  <c r="Z60" i="2" s="1"/>
  <c r="D54" i="5" s="1"/>
  <c r="I54" i="5" s="1"/>
  <c r="Y62" i="2"/>
  <c r="Z62" i="2"/>
  <c r="D56" i="5" s="1"/>
  <c r="I56" i="5" s="1"/>
  <c r="K62" i="2"/>
  <c r="L62" i="2"/>
  <c r="C56" i="5" s="1"/>
  <c r="H56" i="5" s="1"/>
  <c r="Y41" i="2"/>
  <c r="Z41" i="2"/>
  <c r="Y40" i="2"/>
  <c r="Z40" i="2"/>
  <c r="Z39" i="2"/>
  <c r="Y39" i="2"/>
  <c r="J31" i="2"/>
  <c r="B29" i="5" s="1"/>
  <c r="G29" i="5" s="1"/>
  <c r="I31" i="2"/>
  <c r="I34" i="2"/>
  <c r="J34" i="2"/>
  <c r="B32" i="5" s="1"/>
  <c r="G32" i="5" s="1"/>
  <c r="AA33" i="2"/>
  <c r="AB33" i="2" s="1"/>
  <c r="V33" i="2"/>
  <c r="W33" i="2" s="1"/>
  <c r="X33" i="2" s="1"/>
  <c r="J32" i="2"/>
  <c r="B30" i="5" s="1"/>
  <c r="G30" i="5" s="1"/>
  <c r="I32" i="2"/>
  <c r="R35" i="2"/>
  <c r="C39" i="5" s="1"/>
  <c r="H39" i="5" s="1"/>
  <c r="Q35" i="2"/>
  <c r="R34" i="2"/>
  <c r="C38" i="5" s="1"/>
  <c r="H38" i="5" s="1"/>
  <c r="Q34" i="2"/>
  <c r="J33" i="2"/>
  <c r="B31" i="5" s="1"/>
  <c r="G31" i="5" s="1"/>
  <c r="I33" i="2"/>
  <c r="R31" i="2"/>
  <c r="C35" i="5" s="1"/>
  <c r="H35" i="5" s="1"/>
  <c r="Q31" i="2"/>
  <c r="AA35" i="2"/>
  <c r="AB35" i="2" s="1"/>
  <c r="V35" i="2"/>
  <c r="W35" i="2" s="1"/>
  <c r="X35" i="2" s="1"/>
  <c r="AA34" i="2"/>
  <c r="AB34" i="2" s="1"/>
  <c r="V34" i="2"/>
  <c r="W34" i="2" s="1"/>
  <c r="X34" i="2" s="1"/>
  <c r="Q32" i="2"/>
  <c r="R32" i="2"/>
  <c r="C36" i="5" s="1"/>
  <c r="H36" i="5" s="1"/>
  <c r="AA31" i="2"/>
  <c r="AB31" i="2" s="1"/>
  <c r="V31" i="2"/>
  <c r="W31" i="2" s="1"/>
  <c r="X31" i="2" s="1"/>
  <c r="R33" i="2"/>
  <c r="C37" i="5" s="1"/>
  <c r="H37" i="5" s="1"/>
  <c r="Q33" i="2"/>
  <c r="V32" i="2"/>
  <c r="W32" i="2" s="1"/>
  <c r="X32" i="2" s="1"/>
  <c r="AA32" i="2"/>
  <c r="AB32" i="2" s="1"/>
  <c r="BM21" i="2"/>
  <c r="BN21" i="2" s="1"/>
  <c r="N24" i="2"/>
  <c r="O24" i="2" s="1"/>
  <c r="P24" i="2" s="1"/>
  <c r="BM19" i="2"/>
  <c r="BO19" i="2" s="1"/>
  <c r="N26" i="2"/>
  <c r="N25" i="2"/>
  <c r="O25" i="2" s="1"/>
  <c r="P25" i="2" s="1"/>
  <c r="BM17" i="2"/>
  <c r="BO17" i="2" s="1"/>
  <c r="BM18" i="2"/>
  <c r="BN18" i="2" s="1"/>
  <c r="G25" i="2"/>
  <c r="H25" i="2" s="1"/>
  <c r="T25" i="2"/>
  <c r="N28" i="2"/>
  <c r="N27" i="2"/>
  <c r="BM20" i="2"/>
  <c r="BN20" i="2" s="1"/>
  <c r="BO21" i="2"/>
  <c r="AC33" i="2" l="1"/>
  <c r="AD33" i="2"/>
  <c r="E31" i="5" s="1"/>
  <c r="J31" i="5" s="1"/>
  <c r="AC32" i="2"/>
  <c r="AD32" i="2"/>
  <c r="E30" i="5" s="1"/>
  <c r="J30" i="5" s="1"/>
  <c r="AD31" i="2"/>
  <c r="E29" i="5" s="1"/>
  <c r="J29" i="5" s="1"/>
  <c r="AC31" i="2"/>
  <c r="AC34" i="2"/>
  <c r="AD34" i="2"/>
  <c r="E32" i="5" s="1"/>
  <c r="J32" i="5" s="1"/>
  <c r="AC35" i="2"/>
  <c r="AD35" i="2"/>
  <c r="E33" i="5" s="1"/>
  <c r="J33" i="5" s="1"/>
  <c r="K56" i="5"/>
  <c r="E88" i="5" s="1"/>
  <c r="X61" i="2"/>
  <c r="Y60" i="2"/>
  <c r="BN17" i="2"/>
  <c r="K63" i="2"/>
  <c r="K61" i="2"/>
  <c r="BN19" i="2"/>
  <c r="BO18" i="2"/>
  <c r="K60" i="2"/>
  <c r="L60" i="2"/>
  <c r="C54" i="5" s="1"/>
  <c r="H54" i="5" s="1"/>
  <c r="K54" i="5" s="1"/>
  <c r="C88" i="5" s="1"/>
  <c r="Z61" i="2"/>
  <c r="D55" i="5" s="1"/>
  <c r="I55" i="5" s="1"/>
  <c r="Y61" i="2"/>
  <c r="X63" i="2"/>
  <c r="X59" i="2"/>
  <c r="V25" i="2"/>
  <c r="W25" i="2" s="1"/>
  <c r="X25" i="2" s="1"/>
  <c r="AA25" i="2"/>
  <c r="AB25" i="2" s="1"/>
  <c r="Z31" i="2"/>
  <c r="Y31" i="2"/>
  <c r="Z34" i="2"/>
  <c r="Y34" i="2"/>
  <c r="Z32" i="2"/>
  <c r="Y32" i="2"/>
  <c r="Z35" i="2"/>
  <c r="Y35" i="2"/>
  <c r="Y33" i="2"/>
  <c r="Z33" i="2"/>
  <c r="G24" i="2"/>
  <c r="H24" i="2" s="1"/>
  <c r="T24" i="2"/>
  <c r="T27" i="2"/>
  <c r="O27" i="2"/>
  <c r="P27" i="2" s="1"/>
  <c r="G27" i="2"/>
  <c r="H27" i="2" s="1"/>
  <c r="BO20" i="2"/>
  <c r="D36" i="5" l="1"/>
  <c r="I36" i="5" s="1"/>
  <c r="K36" i="5" s="1"/>
  <c r="C86" i="5" s="1"/>
  <c r="D30" i="5"/>
  <c r="I30" i="5" s="1"/>
  <c r="D32" i="5"/>
  <c r="I32" i="5" s="1"/>
  <c r="D38" i="5"/>
  <c r="I38" i="5" s="1"/>
  <c r="K38" i="5" s="1"/>
  <c r="E86" i="5" s="1"/>
  <c r="D37" i="5"/>
  <c r="I37" i="5" s="1"/>
  <c r="K37" i="5" s="1"/>
  <c r="D86" i="5" s="1"/>
  <c r="D31" i="5"/>
  <c r="I31" i="5" s="1"/>
  <c r="D29" i="5"/>
  <c r="I29" i="5" s="1"/>
  <c r="D35" i="5"/>
  <c r="I35" i="5" s="1"/>
  <c r="K35" i="5" s="1"/>
  <c r="B86" i="5" s="1"/>
  <c r="AD25" i="2"/>
  <c r="E24" i="5" s="1"/>
  <c r="J24" i="5" s="1"/>
  <c r="AC25" i="2"/>
  <c r="D33" i="5"/>
  <c r="I33" i="5" s="1"/>
  <c r="D39" i="5"/>
  <c r="I39" i="5" s="1"/>
  <c r="K39" i="5" s="1"/>
  <c r="F86" i="5" s="1"/>
  <c r="L61" i="2"/>
  <c r="C55" i="5" s="1"/>
  <c r="H55" i="5" s="1"/>
  <c r="K55" i="5" s="1"/>
  <c r="D88" i="5" s="1"/>
  <c r="L63" i="2"/>
  <c r="C57" i="5" s="1"/>
  <c r="H57" i="5" s="1"/>
  <c r="K57" i="5" s="1"/>
  <c r="F88" i="5" s="1"/>
  <c r="Z63" i="2"/>
  <c r="D57" i="5" s="1"/>
  <c r="I57" i="5" s="1"/>
  <c r="Y63" i="2"/>
  <c r="L59" i="2"/>
  <c r="C53" i="5" s="1"/>
  <c r="H53" i="5" s="1"/>
  <c r="K53" i="5" s="1"/>
  <c r="B88" i="5" s="1"/>
  <c r="K59" i="2"/>
  <c r="Z59" i="2"/>
  <c r="D53" i="5" s="1"/>
  <c r="I53" i="5" s="1"/>
  <c r="Y59" i="2"/>
  <c r="V27" i="2"/>
  <c r="W27" i="2" s="1"/>
  <c r="X27" i="2" s="1"/>
  <c r="AA27" i="2"/>
  <c r="AB27" i="2" s="1"/>
  <c r="V24" i="2"/>
  <c r="W24" i="2" s="1"/>
  <c r="X24" i="2" s="1"/>
  <c r="AA24" i="2"/>
  <c r="AB24" i="2" s="1"/>
  <c r="G26" i="2"/>
  <c r="H26" i="2" s="1"/>
  <c r="T26" i="2"/>
  <c r="O26" i="2"/>
  <c r="P26" i="2" s="1"/>
  <c r="O28" i="2"/>
  <c r="P28" i="2" s="1"/>
  <c r="G28" i="2"/>
  <c r="H28" i="2" s="1"/>
  <c r="T28" i="2"/>
  <c r="B18" i="2"/>
  <c r="J18" i="2" s="1"/>
  <c r="B19" i="2"/>
  <c r="J19" i="2" s="1"/>
  <c r="B20" i="2"/>
  <c r="K20" i="2" s="1"/>
  <c r="B21" i="2"/>
  <c r="B17" i="2"/>
  <c r="I17" i="2" s="1"/>
  <c r="CN21" i="2"/>
  <c r="BJ21" i="2"/>
  <c r="Y21" i="2"/>
  <c r="L21" i="2"/>
  <c r="M21" i="2" s="1"/>
  <c r="D21" i="2"/>
  <c r="CN20" i="2"/>
  <c r="BJ20" i="2"/>
  <c r="Y20" i="2"/>
  <c r="L20" i="2"/>
  <c r="M20" i="2" s="1"/>
  <c r="D20" i="2"/>
  <c r="CN19" i="2"/>
  <c r="Y19" i="2"/>
  <c r="L19" i="2"/>
  <c r="M19" i="2" s="1"/>
  <c r="D19" i="2"/>
  <c r="CN18" i="2"/>
  <c r="BJ18" i="2"/>
  <c r="Y18" i="2"/>
  <c r="L18" i="2"/>
  <c r="M18" i="2" s="1"/>
  <c r="D18" i="2"/>
  <c r="CN17" i="2"/>
  <c r="Y17" i="2"/>
  <c r="L17" i="2"/>
  <c r="M17" i="2" s="1"/>
  <c r="D17" i="2"/>
  <c r="CH11" i="2"/>
  <c r="CH12" i="2"/>
  <c r="CH13" i="2"/>
  <c r="CH14" i="2"/>
  <c r="CH10" i="2"/>
  <c r="CG11" i="2"/>
  <c r="CG12" i="2"/>
  <c r="CG13" i="2"/>
  <c r="CG14" i="2"/>
  <c r="CG10" i="2"/>
  <c r="CF11" i="2"/>
  <c r="CF12" i="2"/>
  <c r="CF13" i="2"/>
  <c r="CF14" i="2"/>
  <c r="CF10" i="2"/>
  <c r="BW11" i="2"/>
  <c r="BW12" i="2"/>
  <c r="BW13" i="2"/>
  <c r="BW14" i="2"/>
  <c r="BW10" i="2"/>
  <c r="AL11" i="2"/>
  <c r="AL12" i="2"/>
  <c r="AL13" i="2"/>
  <c r="AL14" i="2"/>
  <c r="AL10" i="2"/>
  <c r="AK11" i="2"/>
  <c r="AK12" i="2"/>
  <c r="AK13" i="2"/>
  <c r="AK14" i="2"/>
  <c r="AK10" i="2"/>
  <c r="AD24" i="2" l="1"/>
  <c r="E23" i="5" s="1"/>
  <c r="J23" i="5" s="1"/>
  <c r="AC24" i="2"/>
  <c r="AC27" i="2"/>
  <c r="AD27" i="2"/>
  <c r="E26" i="5" s="1"/>
  <c r="J26" i="5" s="1"/>
  <c r="I20" i="2"/>
  <c r="V28" i="2"/>
  <c r="W28" i="2" s="1"/>
  <c r="X28" i="2" s="1"/>
  <c r="AA28" i="2"/>
  <c r="AB28" i="2" s="1"/>
  <c r="V26" i="2"/>
  <c r="W26" i="2" s="1"/>
  <c r="X26" i="2" s="1"/>
  <c r="AA26" i="2"/>
  <c r="AB26" i="2" s="1"/>
  <c r="H20" i="2"/>
  <c r="N20" i="2" s="1"/>
  <c r="O20" i="2" s="1"/>
  <c r="I19" i="2"/>
  <c r="AB17" i="2"/>
  <c r="AC17" i="2"/>
  <c r="Z17" i="2"/>
  <c r="AH17" i="2" s="1"/>
  <c r="CI17" i="2" s="1"/>
  <c r="CU17" i="2" s="1"/>
  <c r="AA17" i="2"/>
  <c r="Z21" i="2"/>
  <c r="AC21" i="2"/>
  <c r="AB21" i="2"/>
  <c r="AA21" i="2"/>
  <c r="AB18" i="2"/>
  <c r="AA18" i="2"/>
  <c r="Z18" i="2"/>
  <c r="AH18" i="2" s="1"/>
  <c r="AC18" i="2"/>
  <c r="AC19" i="2"/>
  <c r="AB19" i="2"/>
  <c r="AA19" i="2"/>
  <c r="Z19" i="2"/>
  <c r="Z20" i="2"/>
  <c r="AC20" i="2"/>
  <c r="AB20" i="2"/>
  <c r="AA20" i="2"/>
  <c r="H21" i="2"/>
  <c r="N21" i="2" s="1"/>
  <c r="O21" i="2" s="1"/>
  <c r="BJ19" i="2"/>
  <c r="BL19" i="2" s="1"/>
  <c r="I18" i="2"/>
  <c r="J21" i="2"/>
  <c r="BL18" i="2"/>
  <c r="BK18" i="2"/>
  <c r="H17" i="2"/>
  <c r="BK20" i="2"/>
  <c r="J17" i="2"/>
  <c r="K17" i="2"/>
  <c r="BJ17" i="2"/>
  <c r="BK17" i="2" s="1"/>
  <c r="H18" i="2"/>
  <c r="K18" i="2"/>
  <c r="H19" i="2"/>
  <c r="K19" i="2"/>
  <c r="AH20" i="2"/>
  <c r="BL20" i="2"/>
  <c r="K21" i="2"/>
  <c r="BK21" i="2"/>
  <c r="BL21" i="2"/>
  <c r="J20" i="2"/>
  <c r="I21" i="2"/>
  <c r="L11" i="2"/>
  <c r="M11" i="2" s="1"/>
  <c r="L12" i="2"/>
  <c r="M12" i="2" s="1"/>
  <c r="L13" i="2"/>
  <c r="M13" i="2" s="1"/>
  <c r="L14" i="2"/>
  <c r="M14" i="2" s="1"/>
  <c r="L10" i="2"/>
  <c r="M10" i="2" s="1"/>
  <c r="B18" i="1"/>
  <c r="AD26" i="2" l="1"/>
  <c r="E25" i="5" s="1"/>
  <c r="J25" i="5" s="1"/>
  <c r="AC26" i="2"/>
  <c r="AC28" i="2"/>
  <c r="AD28" i="2"/>
  <c r="E27" i="5" s="1"/>
  <c r="J27" i="5" s="1"/>
  <c r="AD20" i="2"/>
  <c r="AE19" i="2"/>
  <c r="BQ19" i="2" s="1"/>
  <c r="BP20" i="2"/>
  <c r="AE18" i="2"/>
  <c r="BQ18" i="2" s="1"/>
  <c r="AD21" i="2"/>
  <c r="BP21" i="2" s="1"/>
  <c r="BK19" i="2"/>
  <c r="BL17" i="2"/>
  <c r="AH19" i="2"/>
  <c r="CI19" i="2" s="1"/>
  <c r="CU19" i="2" s="1"/>
  <c r="AI19" i="2"/>
  <c r="AS19" i="2" s="1"/>
  <c r="AD19" i="2"/>
  <c r="CE19" i="2" s="1"/>
  <c r="AE21" i="2"/>
  <c r="BQ21" i="2" s="1"/>
  <c r="AH21" i="2"/>
  <c r="CI21" i="2" s="1"/>
  <c r="CU21" i="2" s="1"/>
  <c r="AD17" i="2"/>
  <c r="BP17" i="2" s="1"/>
  <c r="AI17" i="2"/>
  <c r="BV17" i="2" s="1"/>
  <c r="CI20" i="2"/>
  <c r="CU20" i="2" s="1"/>
  <c r="BU20" i="2"/>
  <c r="AR20" i="2"/>
  <c r="CF19" i="2"/>
  <c r="AI20" i="2"/>
  <c r="BV20" i="2" s="1"/>
  <c r="AF20" i="2"/>
  <c r="AJ19" i="2"/>
  <c r="AK19" i="2"/>
  <c r="AD18" i="2"/>
  <c r="BP18" i="2" s="1"/>
  <c r="N18" i="2"/>
  <c r="O18" i="2" s="1"/>
  <c r="N19" i="2"/>
  <c r="O19" i="2" s="1"/>
  <c r="AR17" i="2"/>
  <c r="BU17" i="2"/>
  <c r="N17" i="2"/>
  <c r="O17" i="2" s="1"/>
  <c r="AI18" i="2"/>
  <c r="BV18" i="2" s="1"/>
  <c r="AE20" i="2"/>
  <c r="BQ20" i="2" s="1"/>
  <c r="CE20" i="2"/>
  <c r="AN20" i="2"/>
  <c r="AF19" i="2"/>
  <c r="AR18" i="2"/>
  <c r="BU18" i="2"/>
  <c r="CI18" i="2"/>
  <c r="CU18" i="2" s="1"/>
  <c r="L3" i="2"/>
  <c r="B11" i="2"/>
  <c r="B12" i="2"/>
  <c r="B13" i="2"/>
  <c r="B14" i="2"/>
  <c r="B10" i="2"/>
  <c r="CR19" i="2" l="1"/>
  <c r="DD19" i="2"/>
  <c r="CQ19" i="2"/>
  <c r="DD20" i="2"/>
  <c r="CQ20" i="2"/>
  <c r="AO19" i="2"/>
  <c r="AO18" i="2"/>
  <c r="BU21" i="2"/>
  <c r="AR19" i="2"/>
  <c r="CF18" i="2"/>
  <c r="AN21" i="2"/>
  <c r="BU19" i="2"/>
  <c r="AR21" i="2"/>
  <c r="CE21" i="2"/>
  <c r="BX19" i="2"/>
  <c r="CL19" i="2"/>
  <c r="CX19" i="2" s="1"/>
  <c r="BW19" i="2"/>
  <c r="CK19" i="2"/>
  <c r="CW19" i="2" s="1"/>
  <c r="Q26" i="2"/>
  <c r="BR19" i="2"/>
  <c r="CG19" i="2"/>
  <c r="CS19" i="2" s="1"/>
  <c r="BR20" i="2"/>
  <c r="CG20" i="2"/>
  <c r="CS20" i="2" s="1"/>
  <c r="I24" i="2"/>
  <c r="J24" i="2"/>
  <c r="B23" i="5" s="1"/>
  <c r="G23" i="5" s="1"/>
  <c r="AN19" i="2"/>
  <c r="AV19" i="2" s="1"/>
  <c r="BP19" i="2"/>
  <c r="CJ19" i="2"/>
  <c r="CV19" i="2" s="1"/>
  <c r="BV19" i="2"/>
  <c r="AV21" i="2"/>
  <c r="AI21" i="2"/>
  <c r="BV21" i="2" s="1"/>
  <c r="AO21" i="2"/>
  <c r="CF21" i="2"/>
  <c r="AE17" i="2"/>
  <c r="BQ17" i="2" s="1"/>
  <c r="AN17" i="2"/>
  <c r="AV17" i="2" s="1"/>
  <c r="CE17" i="2"/>
  <c r="AF17" i="2"/>
  <c r="CG17" i="2" s="1"/>
  <c r="CS17" i="2" s="1"/>
  <c r="AV20" i="2"/>
  <c r="AT19" i="2"/>
  <c r="AJ18" i="2"/>
  <c r="AF18" i="2"/>
  <c r="AP19" i="2"/>
  <c r="AN18" i="2"/>
  <c r="AV18" i="2" s="1"/>
  <c r="CE18" i="2"/>
  <c r="AJ20" i="2"/>
  <c r="AW19" i="2"/>
  <c r="CF20" i="2"/>
  <c r="AO20" i="2"/>
  <c r="AG19" i="2"/>
  <c r="AS17" i="2"/>
  <c r="CJ17" i="2"/>
  <c r="CV17" i="2" s="1"/>
  <c r="CJ20" i="2"/>
  <c r="CV20" i="2" s="1"/>
  <c r="AS20" i="2"/>
  <c r="AS18" i="2"/>
  <c r="AW18" i="2" s="1"/>
  <c r="CJ18" i="2"/>
  <c r="CV18" i="2" s="1"/>
  <c r="AU19" i="2"/>
  <c r="AP20" i="2"/>
  <c r="J12" i="2"/>
  <c r="J13" i="2"/>
  <c r="J10" i="2"/>
  <c r="B3" i="2"/>
  <c r="BE14" i="2"/>
  <c r="BD14" i="2"/>
  <c r="X14" i="2"/>
  <c r="D14" i="2"/>
  <c r="H14" i="2" s="1"/>
  <c r="BE13" i="2"/>
  <c r="BD13" i="2"/>
  <c r="X13" i="2"/>
  <c r="D13" i="2"/>
  <c r="BE12" i="2"/>
  <c r="BD12" i="2"/>
  <c r="X12" i="2"/>
  <c r="D12" i="2"/>
  <c r="BE11" i="2"/>
  <c r="BD11" i="2"/>
  <c r="X11" i="2"/>
  <c r="D11" i="2"/>
  <c r="H11" i="2" s="1"/>
  <c r="BE10" i="2"/>
  <c r="BD10" i="2"/>
  <c r="X10" i="2"/>
  <c r="D10" i="2"/>
  <c r="CG4" i="2"/>
  <c r="CG5" i="2"/>
  <c r="CG6" i="2"/>
  <c r="CG7" i="2"/>
  <c r="CG3" i="2"/>
  <c r="CF4" i="2"/>
  <c r="CF5" i="2"/>
  <c r="CF6" i="2"/>
  <c r="CF7" i="2"/>
  <c r="CF3" i="2"/>
  <c r="BW4" i="2"/>
  <c r="BW5" i="2"/>
  <c r="BW6" i="2"/>
  <c r="BW7" i="2"/>
  <c r="BW3" i="2"/>
  <c r="CR20" i="2" l="1"/>
  <c r="DD21" i="2"/>
  <c r="CQ21" i="2"/>
  <c r="K3" i="2"/>
  <c r="J3" i="2"/>
  <c r="I3" i="2"/>
  <c r="DD18" i="2"/>
  <c r="CQ18" i="2"/>
  <c r="DD17" i="2"/>
  <c r="CQ17" i="2"/>
  <c r="CR18" i="2"/>
  <c r="CR21" i="2"/>
  <c r="R26" i="2"/>
  <c r="BW20" i="2"/>
  <c r="CK20" i="2"/>
  <c r="CW20" i="2" s="1"/>
  <c r="R28" i="2"/>
  <c r="BW18" i="2"/>
  <c r="CK18" i="2"/>
  <c r="CW18" i="2" s="1"/>
  <c r="Z28" i="2"/>
  <c r="D27" i="5" s="1"/>
  <c r="I27" i="5" s="1"/>
  <c r="BS19" i="2"/>
  <c r="CH19" i="2"/>
  <c r="CT19" i="2" s="1"/>
  <c r="BR18" i="2"/>
  <c r="CG18" i="2"/>
  <c r="CS18" i="2" s="1"/>
  <c r="I26" i="2"/>
  <c r="J26" i="2"/>
  <c r="B25" i="5" s="1"/>
  <c r="G25" i="5" s="1"/>
  <c r="R25" i="2"/>
  <c r="Q25" i="2"/>
  <c r="Y24" i="2"/>
  <c r="Z24" i="2"/>
  <c r="D23" i="5" s="1"/>
  <c r="I23" i="5" s="1"/>
  <c r="Z27" i="2"/>
  <c r="D26" i="5" s="1"/>
  <c r="I26" i="5" s="1"/>
  <c r="Y27" i="2"/>
  <c r="I25" i="2"/>
  <c r="J25" i="2"/>
  <c r="B24" i="5" s="1"/>
  <c r="G24" i="5" s="1"/>
  <c r="Y25" i="2"/>
  <c r="Z25" i="2"/>
  <c r="D24" i="5" s="1"/>
  <c r="I24" i="5" s="1"/>
  <c r="R27" i="2"/>
  <c r="Q27" i="2"/>
  <c r="R24" i="2"/>
  <c r="Q24" i="2"/>
  <c r="J27" i="2"/>
  <c r="B26" i="5" s="1"/>
  <c r="G26" i="5" s="1"/>
  <c r="I27" i="2"/>
  <c r="Z26" i="2"/>
  <c r="D25" i="5" s="1"/>
  <c r="I25" i="5" s="1"/>
  <c r="Y26" i="2"/>
  <c r="AP17" i="2"/>
  <c r="BR17" i="2"/>
  <c r="Y10" i="2"/>
  <c r="AO17" i="2"/>
  <c r="AW17" i="2" s="1"/>
  <c r="CJ21" i="2"/>
  <c r="CV21" i="2" s="1"/>
  <c r="Y12" i="2"/>
  <c r="Z12" i="2" s="1"/>
  <c r="AH12" i="2" s="1"/>
  <c r="AR12" i="2" s="1"/>
  <c r="BG14" i="2"/>
  <c r="BH14" i="2" s="1"/>
  <c r="AF21" i="2"/>
  <c r="CG21" i="2" s="1"/>
  <c r="CS21" i="2" s="1"/>
  <c r="AJ21" i="2"/>
  <c r="CK21" i="2" s="1"/>
  <c r="CW21" i="2" s="1"/>
  <c r="BY19" i="2"/>
  <c r="AS21" i="2"/>
  <c r="AW21" i="2" s="1"/>
  <c r="AX19" i="2"/>
  <c r="CF17" i="2"/>
  <c r="CZ19" i="2"/>
  <c r="AJ17" i="2"/>
  <c r="CK17" i="2" s="1"/>
  <c r="CW17" i="2" s="1"/>
  <c r="AK17" i="2"/>
  <c r="AT20" i="2"/>
  <c r="AX20" i="2" s="1"/>
  <c r="AK21" i="2"/>
  <c r="AG21" i="2"/>
  <c r="AP18" i="2"/>
  <c r="AK18" i="2"/>
  <c r="AG18" i="2"/>
  <c r="BT19" i="2"/>
  <c r="CY19" i="2"/>
  <c r="AQ19" i="2"/>
  <c r="AY19" i="2" s="1"/>
  <c r="AW20" i="2"/>
  <c r="AK20" i="2"/>
  <c r="AG20" i="2"/>
  <c r="AT18" i="2"/>
  <c r="BG10" i="2"/>
  <c r="BI10" i="2" s="1"/>
  <c r="BG11" i="2"/>
  <c r="BI11" i="2" s="1"/>
  <c r="BG13" i="2"/>
  <c r="BI13" i="2" s="1"/>
  <c r="Y13" i="2"/>
  <c r="AG13" i="2" s="1"/>
  <c r="Y14" i="2"/>
  <c r="AC14" i="2" s="1"/>
  <c r="Y11" i="2"/>
  <c r="Z11" i="2" s="1"/>
  <c r="H10" i="2"/>
  <c r="AC10" i="2" s="1"/>
  <c r="K13" i="2"/>
  <c r="I10" i="2"/>
  <c r="N11" i="2"/>
  <c r="O11" i="2" s="1"/>
  <c r="H13" i="2"/>
  <c r="K10" i="2"/>
  <c r="I13" i="2"/>
  <c r="Z10" i="2"/>
  <c r="AG10" i="2"/>
  <c r="I12" i="2"/>
  <c r="K12" i="2"/>
  <c r="I11" i="2"/>
  <c r="K11" i="2"/>
  <c r="J11" i="2"/>
  <c r="H12" i="2"/>
  <c r="N14" i="2"/>
  <c r="O14" i="2" s="1"/>
  <c r="I14" i="2"/>
  <c r="J14" i="2"/>
  <c r="BG12" i="2"/>
  <c r="K14" i="2"/>
  <c r="BE4" i="2"/>
  <c r="BE5" i="2"/>
  <c r="BE6" i="2"/>
  <c r="BE7" i="2"/>
  <c r="BE3" i="2"/>
  <c r="BD4" i="2"/>
  <c r="BD5" i="2"/>
  <c r="BD6" i="2"/>
  <c r="BD7" i="2"/>
  <c r="BD3" i="2"/>
  <c r="BB7" i="2"/>
  <c r="BB6" i="2"/>
  <c r="BB4" i="2"/>
  <c r="BB5" i="2"/>
  <c r="BB3" i="2"/>
  <c r="CR17" i="2" l="1"/>
  <c r="C33" i="5"/>
  <c r="H33" i="5" s="1"/>
  <c r="K33" i="5" s="1"/>
  <c r="F85" i="5" s="1"/>
  <c r="C27" i="5"/>
  <c r="H27" i="5" s="1"/>
  <c r="C23" i="5"/>
  <c r="H23" i="5" s="1"/>
  <c r="K23" i="5" s="1"/>
  <c r="B84" i="5" s="1"/>
  <c r="C29" i="5"/>
  <c r="H29" i="5" s="1"/>
  <c r="K29" i="5" s="1"/>
  <c r="B85" i="5" s="1"/>
  <c r="DE18" i="2"/>
  <c r="DF18" i="2" s="1"/>
  <c r="C31" i="5"/>
  <c r="H31" i="5" s="1"/>
  <c r="K31" i="5" s="1"/>
  <c r="D85" i="5" s="1"/>
  <c r="C25" i="5"/>
  <c r="H25" i="5" s="1"/>
  <c r="K25" i="5" s="1"/>
  <c r="D84" i="5" s="1"/>
  <c r="C32" i="5"/>
  <c r="H32" i="5" s="1"/>
  <c r="K32" i="5" s="1"/>
  <c r="E85" i="5" s="1"/>
  <c r="C26" i="5"/>
  <c r="H26" i="5" s="1"/>
  <c r="K26" i="5" s="1"/>
  <c r="E84" i="5" s="1"/>
  <c r="DE19" i="2"/>
  <c r="DF19" i="2" s="1"/>
  <c r="C30" i="5"/>
  <c r="H30" i="5" s="1"/>
  <c r="K30" i="5" s="1"/>
  <c r="C85" i="5" s="1"/>
  <c r="C24" i="5"/>
  <c r="H24" i="5" s="1"/>
  <c r="K24" i="5"/>
  <c r="C84" i="5" s="1"/>
  <c r="BJ14" i="2"/>
  <c r="CC12" i="2"/>
  <c r="CO12" i="2" s="1"/>
  <c r="Y28" i="2"/>
  <c r="BH13" i="2"/>
  <c r="BX20" i="2"/>
  <c r="BY20" i="2" s="1"/>
  <c r="CL20" i="2"/>
  <c r="BX18" i="2"/>
  <c r="BY18" i="2" s="1"/>
  <c r="CL18" i="2"/>
  <c r="CX18" i="2" s="1"/>
  <c r="CZ18" i="2" s="1"/>
  <c r="BX21" i="2"/>
  <c r="CL21" i="2"/>
  <c r="CX21" i="2" s="1"/>
  <c r="Q28" i="2"/>
  <c r="BX17" i="2"/>
  <c r="CL17" i="2"/>
  <c r="CX17" i="2" s="1"/>
  <c r="BS20" i="2"/>
  <c r="BT20" i="2" s="1"/>
  <c r="CH20" i="2"/>
  <c r="BS18" i="2"/>
  <c r="BT18" i="2" s="1"/>
  <c r="CH18" i="2"/>
  <c r="BS21" i="2"/>
  <c r="CH21" i="2"/>
  <c r="CT21" i="2" s="1"/>
  <c r="J28" i="2"/>
  <c r="B27" i="5" s="1"/>
  <c r="G27" i="5" s="1"/>
  <c r="I28" i="2"/>
  <c r="AT21" i="2"/>
  <c r="BW21" i="2"/>
  <c r="AT17" i="2"/>
  <c r="AX17" i="2" s="1"/>
  <c r="BW17" i="2"/>
  <c r="AP21" i="2"/>
  <c r="AX21" i="2" s="1"/>
  <c r="BR21" i="2"/>
  <c r="BH11" i="2"/>
  <c r="Z13" i="2"/>
  <c r="AA13" i="2" s="1"/>
  <c r="BH10" i="2"/>
  <c r="BP12" i="2"/>
  <c r="BI14" i="2"/>
  <c r="AA12" i="2"/>
  <c r="AE12" i="2" s="1"/>
  <c r="AC12" i="2"/>
  <c r="BJ12" i="2" s="1"/>
  <c r="AG12" i="2"/>
  <c r="CB12" i="2" s="1"/>
  <c r="CN12" i="2" s="1"/>
  <c r="AZ19" i="2"/>
  <c r="BA19" i="2" s="1"/>
  <c r="BZ19" i="2"/>
  <c r="CA19" i="2" s="1"/>
  <c r="AG17" i="2"/>
  <c r="DA19" i="2"/>
  <c r="DB19" i="2" s="1"/>
  <c r="AC13" i="2"/>
  <c r="BJ13" i="2" s="1"/>
  <c r="AM10" i="2"/>
  <c r="BJ10" i="2"/>
  <c r="AX18" i="2"/>
  <c r="AU20" i="2"/>
  <c r="AU18" i="2"/>
  <c r="AQ18" i="2"/>
  <c r="AU21" i="2"/>
  <c r="AQ20" i="2"/>
  <c r="AU17" i="2"/>
  <c r="AQ21" i="2"/>
  <c r="Z14" i="2"/>
  <c r="AD14" i="2" s="1"/>
  <c r="AD12" i="2"/>
  <c r="AG11" i="2"/>
  <c r="AQ11" i="2" s="1"/>
  <c r="AC11" i="2"/>
  <c r="BJ11" i="2" s="1"/>
  <c r="AG14" i="2"/>
  <c r="BO14" i="2" s="1"/>
  <c r="N13" i="2"/>
  <c r="O13" i="2" s="1"/>
  <c r="BX10" i="2"/>
  <c r="N10" i="2"/>
  <c r="O10" i="2" s="1"/>
  <c r="BH12" i="2"/>
  <c r="AH10" i="2"/>
  <c r="AA10" i="2"/>
  <c r="BI12" i="2"/>
  <c r="N12" i="2"/>
  <c r="O12" i="2" s="1"/>
  <c r="AD11" i="2"/>
  <c r="BK11" i="2" s="1"/>
  <c r="AM14" i="2"/>
  <c r="BX14" i="2"/>
  <c r="AD10" i="2"/>
  <c r="AQ13" i="2"/>
  <c r="CB13" i="2"/>
  <c r="CN13" i="2" s="1"/>
  <c r="BO13" i="2"/>
  <c r="AA11" i="2"/>
  <c r="AH11" i="2"/>
  <c r="AQ10" i="2"/>
  <c r="BO10" i="2"/>
  <c r="CB10" i="2"/>
  <c r="CN10" i="2" s="1"/>
  <c r="BG3" i="2"/>
  <c r="BI3" i="2" s="1"/>
  <c r="BG5" i="2"/>
  <c r="BH5" i="2" s="1"/>
  <c r="BG4" i="2"/>
  <c r="BI4" i="2" s="1"/>
  <c r="BG7" i="2"/>
  <c r="BI7" i="2" s="1"/>
  <c r="BG6" i="2"/>
  <c r="BI6" i="2" s="1"/>
  <c r="AK4" i="2"/>
  <c r="AK5" i="2"/>
  <c r="AK6" i="2"/>
  <c r="AK7" i="2"/>
  <c r="AK3" i="2"/>
  <c r="DH18" i="2" l="1"/>
  <c r="E18" i="5" s="1"/>
  <c r="J18" i="5" s="1"/>
  <c r="DG18" i="2"/>
  <c r="CT18" i="2"/>
  <c r="CY18" i="2" s="1"/>
  <c r="DA18" i="2" s="1"/>
  <c r="DG19" i="2"/>
  <c r="DH19" i="2"/>
  <c r="E19" i="5" s="1"/>
  <c r="J19" i="5" s="1"/>
  <c r="CT20" i="2"/>
  <c r="CY20" i="2" s="1"/>
  <c r="DA20" i="2" s="1"/>
  <c r="DC20" i="2" s="1"/>
  <c r="D20" i="5" s="1"/>
  <c r="I20" i="5" s="1"/>
  <c r="DE20" i="2"/>
  <c r="DF20" i="2" s="1"/>
  <c r="DE21" i="2"/>
  <c r="DF21" i="2" s="1"/>
  <c r="CX20" i="2"/>
  <c r="CZ20" i="2" s="1"/>
  <c r="K27" i="5"/>
  <c r="F84" i="5" s="1"/>
  <c r="BB19" i="2"/>
  <c r="B19" i="5" s="1"/>
  <c r="G19" i="5" s="1"/>
  <c r="K19" i="5" s="1"/>
  <c r="D83" i="5" s="1"/>
  <c r="AH14" i="2"/>
  <c r="BY17" i="2"/>
  <c r="BX12" i="2"/>
  <c r="CJ12" i="2" s="1"/>
  <c r="CJ14" i="2"/>
  <c r="CW14" i="2"/>
  <c r="CW12" i="2"/>
  <c r="CJ10" i="2"/>
  <c r="CW10" i="2"/>
  <c r="AU10" i="2"/>
  <c r="AH13" i="2"/>
  <c r="AD13" i="2"/>
  <c r="BK13" i="2" s="1"/>
  <c r="CZ21" i="2"/>
  <c r="BK10" i="2"/>
  <c r="CB11" i="2"/>
  <c r="CN11" i="2" s="1"/>
  <c r="AM12" i="2"/>
  <c r="BT21" i="2"/>
  <c r="CY21" i="2"/>
  <c r="AQ12" i="2"/>
  <c r="BO12" i="2"/>
  <c r="AM13" i="2"/>
  <c r="AU13" i="2" s="1"/>
  <c r="CH17" i="2"/>
  <c r="BS17" i="2"/>
  <c r="BT17" i="2" s="1"/>
  <c r="BZ17" i="2" s="1"/>
  <c r="CB17" i="2" s="1"/>
  <c r="C17" i="5" s="1"/>
  <c r="H17" i="5" s="1"/>
  <c r="AI12" i="2"/>
  <c r="AS12" i="2" s="1"/>
  <c r="CB19" i="2"/>
  <c r="C19" i="5" s="1"/>
  <c r="H19" i="5" s="1"/>
  <c r="AB12" i="2"/>
  <c r="AJ12" i="2" s="1"/>
  <c r="CE12" i="2" s="1"/>
  <c r="CQ12" i="2" s="1"/>
  <c r="BX11" i="2"/>
  <c r="AY21" i="2"/>
  <c r="AZ21" i="2" s="1"/>
  <c r="BB21" i="2" s="1"/>
  <c r="B21" i="5" s="1"/>
  <c r="G21" i="5" s="1"/>
  <c r="BY21" i="2"/>
  <c r="AQ17" i="2"/>
  <c r="AY17" i="2" s="1"/>
  <c r="AZ17" i="2" s="1"/>
  <c r="BA17" i="2" s="1"/>
  <c r="BL12" i="2"/>
  <c r="BK12" i="2"/>
  <c r="DC19" i="2"/>
  <c r="D19" i="5" s="1"/>
  <c r="I19" i="5" s="1"/>
  <c r="AN12" i="2"/>
  <c r="AV12" i="2" s="1"/>
  <c r="BY12" i="2"/>
  <c r="CB14" i="2"/>
  <c r="CN14" i="2" s="1"/>
  <c r="AA14" i="2"/>
  <c r="AI14" i="2" s="1"/>
  <c r="BX13" i="2"/>
  <c r="CZ17" i="2"/>
  <c r="AN14" i="2"/>
  <c r="BK14" i="2"/>
  <c r="BO11" i="2"/>
  <c r="BZ18" i="2"/>
  <c r="CB18" i="2" s="1"/>
  <c r="C18" i="5" s="1"/>
  <c r="H18" i="5" s="1"/>
  <c r="AY18" i="2"/>
  <c r="AZ18" i="2" s="1"/>
  <c r="BA18" i="2" s="1"/>
  <c r="AY20" i="2"/>
  <c r="AZ20" i="2" s="1"/>
  <c r="BA20" i="2" s="1"/>
  <c r="BZ20" i="2"/>
  <c r="BH3" i="2"/>
  <c r="AQ14" i="2"/>
  <c r="AU14" i="2" s="1"/>
  <c r="AM11" i="2"/>
  <c r="AU11" i="2" s="1"/>
  <c r="BY14" i="2"/>
  <c r="AR11" i="2"/>
  <c r="BP11" i="2"/>
  <c r="CC11" i="2"/>
  <c r="CO11" i="2" s="1"/>
  <c r="AO12" i="2"/>
  <c r="BZ12" i="2"/>
  <c r="CL12" i="2" s="1"/>
  <c r="AI13" i="2"/>
  <c r="AB13" i="2"/>
  <c r="AE13" i="2"/>
  <c r="BL13" i="2" s="1"/>
  <c r="AI11" i="2"/>
  <c r="AB11" i="2"/>
  <c r="AN11" i="2"/>
  <c r="BY11" i="2"/>
  <c r="CC13" i="2"/>
  <c r="CO13" i="2" s="1"/>
  <c r="BP13" i="2"/>
  <c r="AR13" i="2"/>
  <c r="AE11" i="2"/>
  <c r="BL11" i="2" s="1"/>
  <c r="AB10" i="2"/>
  <c r="AI10" i="2"/>
  <c r="AE10" i="2"/>
  <c r="BL10" i="2" s="1"/>
  <c r="BY10" i="2"/>
  <c r="AN10" i="2"/>
  <c r="AR14" i="2"/>
  <c r="CC14" i="2"/>
  <c r="CO14" i="2" s="1"/>
  <c r="BP14" i="2"/>
  <c r="CC10" i="2"/>
  <c r="CO10" i="2" s="1"/>
  <c r="BP10" i="2"/>
  <c r="AR10" i="2"/>
  <c r="BH6" i="2"/>
  <c r="BH7" i="2"/>
  <c r="BH4" i="2"/>
  <c r="BI5" i="2"/>
  <c r="W4" i="2"/>
  <c r="X4" i="2" s="1"/>
  <c r="W5" i="2"/>
  <c r="X5" i="2" s="1"/>
  <c r="W6" i="2"/>
  <c r="X6" i="2" s="1"/>
  <c r="W7" i="2"/>
  <c r="X7" i="2" s="1"/>
  <c r="W3" i="2"/>
  <c r="X3" i="2" s="1"/>
  <c r="CT17" i="2" l="1"/>
  <c r="CY17" i="2" s="1"/>
  <c r="DA17" i="2" s="1"/>
  <c r="DC17" i="2" s="1"/>
  <c r="D17" i="5" s="1"/>
  <c r="I17" i="5" s="1"/>
  <c r="DE17" i="2"/>
  <c r="DF17" i="2" s="1"/>
  <c r="CK11" i="2"/>
  <c r="CK10" i="2"/>
  <c r="DH21" i="2"/>
  <c r="E21" i="5" s="1"/>
  <c r="J21" i="5" s="1"/>
  <c r="DG21" i="2"/>
  <c r="CK14" i="2"/>
  <c r="CK12" i="2"/>
  <c r="DG20" i="2"/>
  <c r="DH20" i="2"/>
  <c r="E20" i="5" s="1"/>
  <c r="J20" i="5" s="1"/>
  <c r="CD12" i="2"/>
  <c r="CP12" i="2" s="1"/>
  <c r="BQ12" i="2"/>
  <c r="BY13" i="2"/>
  <c r="CJ11" i="2"/>
  <c r="CW11" i="2"/>
  <c r="CJ13" i="2"/>
  <c r="CW13" i="2"/>
  <c r="DA21" i="2"/>
  <c r="DC21" i="2" s="1"/>
  <c r="D21" i="5" s="1"/>
  <c r="I21" i="5" s="1"/>
  <c r="AU12" i="2"/>
  <c r="AN13" i="2"/>
  <c r="AV13" i="2" s="1"/>
  <c r="BZ21" i="2"/>
  <c r="CB21" i="2" s="1"/>
  <c r="C21" i="5" s="1"/>
  <c r="H21" i="5" s="1"/>
  <c r="K21" i="5" s="1"/>
  <c r="F83" i="5" s="1"/>
  <c r="BR12" i="2"/>
  <c r="AT12" i="2"/>
  <c r="AF12" i="2"/>
  <c r="BM12" i="2" s="1"/>
  <c r="BN12" i="2" s="1"/>
  <c r="AE14" i="2"/>
  <c r="BL14" i="2" s="1"/>
  <c r="AB14" i="2"/>
  <c r="AJ14" i="2" s="1"/>
  <c r="BB20" i="2"/>
  <c r="B20" i="5" s="1"/>
  <c r="G20" i="5" s="1"/>
  <c r="BA21" i="2"/>
  <c r="AV14" i="2"/>
  <c r="CA18" i="2"/>
  <c r="CA17" i="2"/>
  <c r="BB18" i="2"/>
  <c r="B18" i="5" s="1"/>
  <c r="G18" i="5" s="1"/>
  <c r="DB20" i="2"/>
  <c r="BB17" i="2"/>
  <c r="B17" i="5" s="1"/>
  <c r="G17" i="5" s="1"/>
  <c r="CA20" i="2"/>
  <c r="CB20" i="2"/>
  <c r="C20" i="5" s="1"/>
  <c r="H20" i="5" s="1"/>
  <c r="DB18" i="2"/>
  <c r="DC18" i="2"/>
  <c r="D18" i="5" s="1"/>
  <c r="I18" i="5" s="1"/>
  <c r="AV10" i="2"/>
  <c r="CS12" i="2"/>
  <c r="BS12" i="2"/>
  <c r="AV11" i="2"/>
  <c r="BQ10" i="2"/>
  <c r="AS10" i="2"/>
  <c r="CD10" i="2"/>
  <c r="CP10" i="2" s="1"/>
  <c r="BQ13" i="2"/>
  <c r="CD13" i="2"/>
  <c r="CP13" i="2" s="1"/>
  <c r="AS13" i="2"/>
  <c r="CD14" i="2"/>
  <c r="CP14" i="2" s="1"/>
  <c r="BQ14" i="2"/>
  <c r="AS14" i="2"/>
  <c r="AJ10" i="2"/>
  <c r="AF10" i="2"/>
  <c r="BM10" i="2" s="1"/>
  <c r="AW12" i="2"/>
  <c r="BZ11" i="2"/>
  <c r="CL11" i="2" s="1"/>
  <c r="AO11" i="2"/>
  <c r="AJ11" i="2"/>
  <c r="AF11" i="2"/>
  <c r="BM11" i="2" s="1"/>
  <c r="BZ13" i="2"/>
  <c r="CL13" i="2" s="1"/>
  <c r="AO13" i="2"/>
  <c r="BZ10" i="2"/>
  <c r="CL10" i="2" s="1"/>
  <c r="AO10" i="2"/>
  <c r="CD11" i="2"/>
  <c r="CP11" i="2" s="1"/>
  <c r="AS11" i="2"/>
  <c r="BQ11" i="2"/>
  <c r="AF13" i="2"/>
  <c r="BM13" i="2" s="1"/>
  <c r="AJ13" i="2"/>
  <c r="AF14" i="2"/>
  <c r="BM14" i="2" s="1"/>
  <c r="L4" i="2"/>
  <c r="M4" i="2" s="1"/>
  <c r="L5" i="2"/>
  <c r="M5" i="2" s="1"/>
  <c r="L6" i="2"/>
  <c r="M6" i="2" s="1"/>
  <c r="L7" i="2"/>
  <c r="M7" i="2" s="1"/>
  <c r="M3" i="2"/>
  <c r="D4" i="2"/>
  <c r="Y4" i="2" s="1"/>
  <c r="D5" i="2"/>
  <c r="Y5" i="2" s="1"/>
  <c r="D6" i="2"/>
  <c r="Y6" i="2" s="1"/>
  <c r="D7" i="2"/>
  <c r="Y7" i="2" s="1"/>
  <c r="D3" i="2"/>
  <c r="C9" i="1"/>
  <c r="B6" i="2"/>
  <c r="I6" i="2" s="1"/>
  <c r="B7" i="2"/>
  <c r="J7" i="2" s="1"/>
  <c r="B5" i="2"/>
  <c r="I5" i="2" s="1"/>
  <c r="B4" i="2"/>
  <c r="K4" i="2" s="1"/>
  <c r="CK13" i="2" l="1"/>
  <c r="Y3" i="2"/>
  <c r="H3" i="2"/>
  <c r="CX11" i="2"/>
  <c r="CY11" i="2" s="1"/>
  <c r="DH17" i="2"/>
  <c r="E17" i="5" s="1"/>
  <c r="J17" i="5" s="1"/>
  <c r="DG17" i="2"/>
  <c r="K20" i="5"/>
  <c r="E83" i="5" s="1"/>
  <c r="K17" i="5"/>
  <c r="B83" i="5" s="1"/>
  <c r="K18" i="5"/>
  <c r="C83" i="5" s="1"/>
  <c r="DB17" i="2"/>
  <c r="BZ14" i="2"/>
  <c r="CA21" i="2"/>
  <c r="DB21" i="2"/>
  <c r="CA12" i="2"/>
  <c r="AP12" i="2"/>
  <c r="AX12" i="2" s="1"/>
  <c r="AY12" i="2" s="1"/>
  <c r="BA12" i="2" s="1"/>
  <c r="B13" i="5" s="1"/>
  <c r="G13" i="5" s="1"/>
  <c r="AO14" i="2"/>
  <c r="BT12" i="2"/>
  <c r="BU12" i="2" s="1"/>
  <c r="AW10" i="2"/>
  <c r="AW11" i="2"/>
  <c r="AW14" i="2"/>
  <c r="AW13" i="2"/>
  <c r="AT13" i="2"/>
  <c r="BR13" i="2"/>
  <c r="BS13" i="2" s="1"/>
  <c r="CE13" i="2"/>
  <c r="CQ13" i="2" s="1"/>
  <c r="CS13" i="2" s="1"/>
  <c r="AP11" i="2"/>
  <c r="BN11" i="2"/>
  <c r="CA11" i="2"/>
  <c r="CM11" i="2" s="1"/>
  <c r="CE10" i="2"/>
  <c r="CQ10" i="2" s="1"/>
  <c r="CS10" i="2" s="1"/>
  <c r="AT10" i="2"/>
  <c r="BR10" i="2"/>
  <c r="BS10" i="2" s="1"/>
  <c r="BN13" i="2"/>
  <c r="AP13" i="2"/>
  <c r="CA13" i="2"/>
  <c r="CM13" i="2" s="1"/>
  <c r="BR11" i="2"/>
  <c r="BS11" i="2" s="1"/>
  <c r="AT11" i="2"/>
  <c r="CE11" i="2"/>
  <c r="CQ11" i="2" s="1"/>
  <c r="CS11" i="2" s="1"/>
  <c r="BN14" i="2"/>
  <c r="AP14" i="2"/>
  <c r="CA14" i="2"/>
  <c r="CM14" i="2" s="1"/>
  <c r="BR14" i="2"/>
  <c r="BS14" i="2" s="1"/>
  <c r="AT14" i="2"/>
  <c r="CE14" i="2"/>
  <c r="CQ14" i="2" s="1"/>
  <c r="CS14" i="2" s="1"/>
  <c r="BN10" i="2"/>
  <c r="AP10" i="2"/>
  <c r="CA10" i="2"/>
  <c r="CM10" i="2" s="1"/>
  <c r="Z6" i="2"/>
  <c r="AD6" i="2" s="1"/>
  <c r="BY6" i="2" s="1"/>
  <c r="CK6" i="2" s="1"/>
  <c r="AG6" i="2"/>
  <c r="CB6" i="2" s="1"/>
  <c r="CN6" i="2" s="1"/>
  <c r="Z5" i="2"/>
  <c r="AD5" i="2" s="1"/>
  <c r="BY5" i="2" s="1"/>
  <c r="CK5" i="2" s="1"/>
  <c r="AG5" i="2"/>
  <c r="CB5" i="2" s="1"/>
  <c r="CN5" i="2" s="1"/>
  <c r="Z3" i="2"/>
  <c r="AG3" i="2"/>
  <c r="CB3" i="2" s="1"/>
  <c r="CN3" i="2" s="1"/>
  <c r="Z4" i="2"/>
  <c r="AG4" i="2"/>
  <c r="CB4" i="2" s="1"/>
  <c r="CN4" i="2" s="1"/>
  <c r="Z7" i="2"/>
  <c r="AG7" i="2"/>
  <c r="CB7" i="2" s="1"/>
  <c r="CN7" i="2" s="1"/>
  <c r="J6" i="2"/>
  <c r="H5" i="2"/>
  <c r="K5" i="2"/>
  <c r="I7" i="2"/>
  <c r="K6" i="2"/>
  <c r="J4" i="2"/>
  <c r="H4" i="2"/>
  <c r="J5" i="2"/>
  <c r="I4" i="2"/>
  <c r="H7" i="2"/>
  <c r="K7" i="2"/>
  <c r="H6" i="2"/>
  <c r="CZ11" i="2" l="1"/>
  <c r="DA11" i="2"/>
  <c r="E12" i="5" s="1"/>
  <c r="J12" i="5" s="1"/>
  <c r="CL14" i="2"/>
  <c r="CX14" i="2"/>
  <c r="CY14" i="2" s="1"/>
  <c r="CX10" i="2"/>
  <c r="CY10" i="2" s="1"/>
  <c r="CM12" i="2"/>
  <c r="CR12" i="2" s="1"/>
  <c r="CT12" i="2" s="1"/>
  <c r="CX12" i="2"/>
  <c r="CY12" i="2" s="1"/>
  <c r="CX13" i="2"/>
  <c r="CY13" i="2" s="1"/>
  <c r="AC3" i="2"/>
  <c r="BX3" i="2" s="1"/>
  <c r="BV12" i="2"/>
  <c r="C13" i="5" s="1"/>
  <c r="H13" i="5" s="1"/>
  <c r="CR10" i="2"/>
  <c r="CT10" i="2" s="1"/>
  <c r="CU10" i="2" s="1"/>
  <c r="CR13" i="2"/>
  <c r="CT13" i="2" s="1"/>
  <c r="CV13" i="2" s="1"/>
  <c r="D14" i="5" s="1"/>
  <c r="I14" i="5" s="1"/>
  <c r="CR14" i="2"/>
  <c r="CT14" i="2" s="1"/>
  <c r="CR11" i="2"/>
  <c r="CT11" i="2" s="1"/>
  <c r="AD3" i="2"/>
  <c r="BY3" i="2" s="1"/>
  <c r="CK3" i="2" s="1"/>
  <c r="AX13" i="2"/>
  <c r="AY13" i="2" s="1"/>
  <c r="AZ13" i="2" s="1"/>
  <c r="BT10" i="2"/>
  <c r="BU10" i="2" s="1"/>
  <c r="BT14" i="2"/>
  <c r="BU14" i="2" s="1"/>
  <c r="AZ12" i="2"/>
  <c r="AX10" i="2"/>
  <c r="AY10" i="2" s="1"/>
  <c r="BA10" i="2" s="1"/>
  <c r="B11" i="5" s="1"/>
  <c r="G11" i="5" s="1"/>
  <c r="BT13" i="2"/>
  <c r="AX14" i="2"/>
  <c r="AY14" i="2" s="1"/>
  <c r="AX11" i="2"/>
  <c r="AY11" i="2" s="1"/>
  <c r="BT11" i="2"/>
  <c r="AD7" i="2"/>
  <c r="BY7" i="2" s="1"/>
  <c r="CK7" i="2" s="1"/>
  <c r="AD4" i="2"/>
  <c r="BY4" i="2" s="1"/>
  <c r="CK4" i="2" s="1"/>
  <c r="BK6" i="2"/>
  <c r="AN6" i="2"/>
  <c r="BO7" i="2"/>
  <c r="AQ7" i="2"/>
  <c r="BO3" i="2"/>
  <c r="AQ3" i="2"/>
  <c r="BO6" i="2"/>
  <c r="AQ6" i="2"/>
  <c r="AM3" i="2"/>
  <c r="BK5" i="2"/>
  <c r="AN5" i="2"/>
  <c r="BO4" i="2"/>
  <c r="AQ4" i="2"/>
  <c r="BO5" i="2"/>
  <c r="AQ5" i="2"/>
  <c r="AA4" i="2"/>
  <c r="AE4" i="2" s="1"/>
  <c r="BZ4" i="2" s="1"/>
  <c r="CL4" i="2" s="1"/>
  <c r="AH4" i="2"/>
  <c r="CC4" i="2" s="1"/>
  <c r="CO4" i="2" s="1"/>
  <c r="AA5" i="2"/>
  <c r="AE5" i="2" s="1"/>
  <c r="BZ5" i="2" s="1"/>
  <c r="CL5" i="2" s="1"/>
  <c r="AH5" i="2"/>
  <c r="CC5" i="2" s="1"/>
  <c r="CO5" i="2" s="1"/>
  <c r="N7" i="2"/>
  <c r="O7" i="2" s="1"/>
  <c r="AC7" i="2"/>
  <c r="BX7" i="2" s="1"/>
  <c r="N6" i="2"/>
  <c r="O6" i="2" s="1"/>
  <c r="AC6" i="2"/>
  <c r="BX6" i="2" s="1"/>
  <c r="N5" i="2"/>
  <c r="O5" i="2" s="1"/>
  <c r="AC5" i="2"/>
  <c r="BX5" i="2" s="1"/>
  <c r="N4" i="2"/>
  <c r="O4" i="2" s="1"/>
  <c r="AC4" i="2"/>
  <c r="BX4" i="2" s="1"/>
  <c r="AA7" i="2"/>
  <c r="AH7" i="2"/>
  <c r="CC7" i="2" s="1"/>
  <c r="CO7" i="2" s="1"/>
  <c r="AA3" i="2"/>
  <c r="AH3" i="2"/>
  <c r="CC3" i="2" s="1"/>
  <c r="CO3" i="2" s="1"/>
  <c r="AA6" i="2"/>
  <c r="AE6" i="2" s="1"/>
  <c r="BZ6" i="2" s="1"/>
  <c r="CL6" i="2" s="1"/>
  <c r="AH6" i="2"/>
  <c r="CC6" i="2" s="1"/>
  <c r="CO6" i="2" s="1"/>
  <c r="N3" i="2"/>
  <c r="O3" i="2" s="1"/>
  <c r="C7" i="1"/>
  <c r="D7" i="1"/>
  <c r="E7" i="1"/>
  <c r="F7" i="1"/>
  <c r="G7" i="1"/>
  <c r="H7" i="1"/>
  <c r="I7" i="1"/>
  <c r="B7" i="1"/>
  <c r="CV12" i="2" l="1"/>
  <c r="D13" i="5" s="1"/>
  <c r="I13" i="5" s="1"/>
  <c r="K13" i="5" s="1"/>
  <c r="D82" i="5" s="1"/>
  <c r="CU12" i="2"/>
  <c r="CJ4" i="2"/>
  <c r="CJ5" i="2"/>
  <c r="CZ10" i="2"/>
  <c r="DA10" i="2"/>
  <c r="E11" i="5" s="1"/>
  <c r="J11" i="5" s="1"/>
  <c r="DA14" i="2"/>
  <c r="E15" i="5" s="1"/>
  <c r="J15" i="5" s="1"/>
  <c r="CZ14" i="2"/>
  <c r="CJ6" i="2"/>
  <c r="CJ3" i="2"/>
  <c r="CJ7" i="2"/>
  <c r="CZ13" i="2"/>
  <c r="DA13" i="2"/>
  <c r="E14" i="5" s="1"/>
  <c r="J14" i="5" s="1"/>
  <c r="CZ12" i="2"/>
  <c r="DA12" i="2"/>
  <c r="E13" i="5" s="1"/>
  <c r="J13" i="5" s="1"/>
  <c r="BJ3" i="2"/>
  <c r="AN3" i="2"/>
  <c r="BK3" i="2"/>
  <c r="BV14" i="2"/>
  <c r="C15" i="5" s="1"/>
  <c r="H15" i="5" s="1"/>
  <c r="CU13" i="2"/>
  <c r="BA13" i="2"/>
  <c r="B14" i="5" s="1"/>
  <c r="G14" i="5" s="1"/>
  <c r="K14" i="5" s="1"/>
  <c r="E82" i="5" s="1"/>
  <c r="BV10" i="2"/>
  <c r="C11" i="5" s="1"/>
  <c r="H11" i="5" s="1"/>
  <c r="K11" i="5" s="1"/>
  <c r="B82" i="5" s="1"/>
  <c r="CV10" i="2"/>
  <c r="D11" i="5" s="1"/>
  <c r="I11" i="5" s="1"/>
  <c r="AZ10" i="2"/>
  <c r="AN4" i="2"/>
  <c r="AN7" i="2"/>
  <c r="BK4" i="2"/>
  <c r="BK7" i="2"/>
  <c r="AZ14" i="2"/>
  <c r="BA14" i="2"/>
  <c r="B15" i="5" s="1"/>
  <c r="G15" i="5" s="1"/>
  <c r="K15" i="5" s="1"/>
  <c r="F82" i="5" s="1"/>
  <c r="BV11" i="2"/>
  <c r="C12" i="5" s="1"/>
  <c r="H12" i="5" s="1"/>
  <c r="BU11" i="2"/>
  <c r="AZ11" i="2"/>
  <c r="BA11" i="2"/>
  <c r="B12" i="5" s="1"/>
  <c r="G12" i="5" s="1"/>
  <c r="K12" i="5" s="1"/>
  <c r="C82" i="5" s="1"/>
  <c r="CV14" i="2"/>
  <c r="D15" i="5" s="1"/>
  <c r="I15" i="5" s="1"/>
  <c r="CU14" i="2"/>
  <c r="CV11" i="2"/>
  <c r="D12" i="5" s="1"/>
  <c r="I12" i="5" s="1"/>
  <c r="CU11" i="2"/>
  <c r="BU13" i="2"/>
  <c r="BV13" i="2"/>
  <c r="C14" i="5" s="1"/>
  <c r="H14" i="5" s="1"/>
  <c r="AU3" i="2"/>
  <c r="BJ5" i="2"/>
  <c r="AM5" i="2"/>
  <c r="AU5" i="2" s="1"/>
  <c r="BP5" i="2"/>
  <c r="AR5" i="2"/>
  <c r="AV5" i="2" s="1"/>
  <c r="BP3" i="2"/>
  <c r="AR3" i="2"/>
  <c r="BL6" i="2"/>
  <c r="AO6" i="2"/>
  <c r="BJ7" i="2"/>
  <c r="AM7" i="2"/>
  <c r="AU7" i="2" s="1"/>
  <c r="BP4" i="2"/>
  <c r="AR4" i="2"/>
  <c r="BP6" i="2"/>
  <c r="AR6" i="2"/>
  <c r="AV6" i="2" s="1"/>
  <c r="BP7" i="2"/>
  <c r="AR7" i="2"/>
  <c r="BJ6" i="2"/>
  <c r="AM6" i="2"/>
  <c r="AU6" i="2" s="1"/>
  <c r="BJ4" i="2"/>
  <c r="AM4" i="2"/>
  <c r="AU4" i="2" s="1"/>
  <c r="BL5" i="2"/>
  <c r="AO5" i="2"/>
  <c r="BL4" i="2"/>
  <c r="AO4" i="2"/>
  <c r="AB6" i="2"/>
  <c r="AI6" i="2"/>
  <c r="CD6" i="2" s="1"/>
  <c r="CP6" i="2" s="1"/>
  <c r="AB7" i="2"/>
  <c r="AI7" i="2"/>
  <c r="CD7" i="2" s="1"/>
  <c r="CP7" i="2" s="1"/>
  <c r="AE7" i="2"/>
  <c r="BZ7" i="2" s="1"/>
  <c r="CL7" i="2" s="1"/>
  <c r="AB5" i="2"/>
  <c r="AI5" i="2"/>
  <c r="CD5" i="2" s="1"/>
  <c r="CP5" i="2" s="1"/>
  <c r="AB3" i="2"/>
  <c r="AI3" i="2"/>
  <c r="CD3" i="2" s="1"/>
  <c r="CP3" i="2" s="1"/>
  <c r="AE3" i="2"/>
  <c r="BZ3" i="2" s="1"/>
  <c r="CL3" i="2" s="1"/>
  <c r="AB4" i="2"/>
  <c r="AI4" i="2"/>
  <c r="CD4" i="2" s="1"/>
  <c r="CP4" i="2" s="1"/>
  <c r="AV4" i="2" l="1"/>
  <c r="AV3" i="2"/>
  <c r="AV7" i="2"/>
  <c r="BQ4" i="2"/>
  <c r="AS4" i="2"/>
  <c r="AW4" i="2" s="1"/>
  <c r="BQ7" i="2"/>
  <c r="AS7" i="2"/>
  <c r="BQ5" i="2"/>
  <c r="AS5" i="2"/>
  <c r="AW5" i="2" s="1"/>
  <c r="BL3" i="2"/>
  <c r="AO3" i="2"/>
  <c r="BQ6" i="2"/>
  <c r="AS6" i="2"/>
  <c r="AW6" i="2" s="1"/>
  <c r="BQ3" i="2"/>
  <c r="AS3" i="2"/>
  <c r="BL7" i="2"/>
  <c r="AO7" i="2"/>
  <c r="AJ3" i="2"/>
  <c r="CE3" i="2" s="1"/>
  <c r="CQ3" i="2" s="1"/>
  <c r="CS3" i="2" s="1"/>
  <c r="AF3" i="2"/>
  <c r="CA3" i="2" s="1"/>
  <c r="CM3" i="2" s="1"/>
  <c r="CR3" i="2" s="1"/>
  <c r="AJ4" i="2"/>
  <c r="CE4" i="2" s="1"/>
  <c r="CQ4" i="2" s="1"/>
  <c r="CS4" i="2" s="1"/>
  <c r="AF4" i="2"/>
  <c r="CA4" i="2" s="1"/>
  <c r="AJ7" i="2"/>
  <c r="CE7" i="2" s="1"/>
  <c r="CQ7" i="2" s="1"/>
  <c r="CS7" i="2" s="1"/>
  <c r="AF7" i="2"/>
  <c r="CA7" i="2" s="1"/>
  <c r="CM7" i="2" s="1"/>
  <c r="CR7" i="2" s="1"/>
  <c r="AJ5" i="2"/>
  <c r="CE5" i="2" s="1"/>
  <c r="CQ5" i="2" s="1"/>
  <c r="CS5" i="2" s="1"/>
  <c r="AF5" i="2"/>
  <c r="CA5" i="2" s="1"/>
  <c r="AJ6" i="2"/>
  <c r="CE6" i="2" s="1"/>
  <c r="CQ6" i="2" s="1"/>
  <c r="CS6" i="2" s="1"/>
  <c r="AF6" i="2"/>
  <c r="CA6" i="2" s="1"/>
  <c r="CM4" i="2" l="1"/>
  <c r="CR4" i="2" s="1"/>
  <c r="CT4" i="2" s="1"/>
  <c r="CW4" i="2"/>
  <c r="CX4" i="2" s="1"/>
  <c r="CM5" i="2"/>
  <c r="CR5" i="2" s="1"/>
  <c r="CT5" i="2" s="1"/>
  <c r="CW5" i="2"/>
  <c r="CX5" i="2" s="1"/>
  <c r="CW7" i="2"/>
  <c r="CX7" i="2" s="1"/>
  <c r="CM6" i="2"/>
  <c r="CR6" i="2" s="1"/>
  <c r="CT6" i="2" s="1"/>
  <c r="CW6" i="2"/>
  <c r="CX6" i="2" s="1"/>
  <c r="CW3" i="2"/>
  <c r="CX3" i="2" s="1"/>
  <c r="CT7" i="2"/>
  <c r="CV7" i="2" s="1"/>
  <c r="D9" i="5" s="1"/>
  <c r="CT3" i="2"/>
  <c r="AW7" i="2"/>
  <c r="BR6" i="2"/>
  <c r="BS6" i="2" s="1"/>
  <c r="AT6" i="2"/>
  <c r="BR7" i="2"/>
  <c r="BS7" i="2" s="1"/>
  <c r="AT7" i="2"/>
  <c r="BR3" i="2"/>
  <c r="BS3" i="2" s="1"/>
  <c r="AT3" i="2"/>
  <c r="AW3" i="2"/>
  <c r="BM5" i="2"/>
  <c r="BN5" i="2" s="1"/>
  <c r="AP5" i="2"/>
  <c r="BM4" i="2"/>
  <c r="BN4" i="2" s="1"/>
  <c r="AP4" i="2"/>
  <c r="BR5" i="2"/>
  <c r="AT5" i="2"/>
  <c r="BR4" i="2"/>
  <c r="BS4" i="2" s="1"/>
  <c r="AT4" i="2"/>
  <c r="BS5" i="2"/>
  <c r="BM6" i="2"/>
  <c r="BN6" i="2" s="1"/>
  <c r="AP6" i="2"/>
  <c r="BM7" i="2"/>
  <c r="BN7" i="2" s="1"/>
  <c r="AP7" i="2"/>
  <c r="BM3" i="2"/>
  <c r="BN3" i="2" s="1"/>
  <c r="AP3" i="2"/>
  <c r="CZ3" i="2" l="1"/>
  <c r="E5" i="5" s="1"/>
  <c r="CY3" i="2"/>
  <c r="I9" i="5"/>
  <c r="I76" i="5" s="1"/>
  <c r="D76" i="5"/>
  <c r="CY6" i="2"/>
  <c r="CZ6" i="2"/>
  <c r="E8" i="5" s="1"/>
  <c r="CZ7" i="2"/>
  <c r="E9" i="5" s="1"/>
  <c r="CY7" i="2"/>
  <c r="CY5" i="2"/>
  <c r="CZ5" i="2"/>
  <c r="E7" i="5" s="1"/>
  <c r="CY4" i="2"/>
  <c r="CZ4" i="2"/>
  <c r="E6" i="5" s="1"/>
  <c r="CU7" i="2"/>
  <c r="CV6" i="2"/>
  <c r="D8" i="5" s="1"/>
  <c r="CU6" i="2"/>
  <c r="CV3" i="2"/>
  <c r="D5" i="5" s="1"/>
  <c r="CU3" i="2"/>
  <c r="CV4" i="2"/>
  <c r="D6" i="5" s="1"/>
  <c r="CU4" i="2"/>
  <c r="CV5" i="2"/>
  <c r="D7" i="5" s="1"/>
  <c r="CU5" i="2"/>
  <c r="BT3" i="2"/>
  <c r="BT6" i="2"/>
  <c r="BT7" i="2"/>
  <c r="BT5" i="2"/>
  <c r="AX7" i="2"/>
  <c r="AY7" i="2" s="1"/>
  <c r="AX4" i="2"/>
  <c r="AY4" i="2" s="1"/>
  <c r="BT4" i="2"/>
  <c r="AX3" i="2"/>
  <c r="AY3" i="2" s="1"/>
  <c r="AX6" i="2"/>
  <c r="AY6" i="2" s="1"/>
  <c r="AX5" i="2"/>
  <c r="AY5" i="2" s="1"/>
  <c r="I5" i="5" l="1"/>
  <c r="I72" i="5" s="1"/>
  <c r="D72" i="5"/>
  <c r="J9" i="5"/>
  <c r="J76" i="5" s="1"/>
  <c r="L76" i="5" s="1"/>
  <c r="E76" i="5"/>
  <c r="I8" i="5"/>
  <c r="I75" i="5" s="1"/>
  <c r="D75" i="5"/>
  <c r="J8" i="5"/>
  <c r="J75" i="5" s="1"/>
  <c r="L75" i="5" s="1"/>
  <c r="E75" i="5"/>
  <c r="J6" i="5"/>
  <c r="J73" i="5" s="1"/>
  <c r="L73" i="5" s="1"/>
  <c r="E73" i="5"/>
  <c r="I7" i="5"/>
  <c r="I74" i="5" s="1"/>
  <c r="D74" i="5"/>
  <c r="I6" i="5"/>
  <c r="I73" i="5" s="1"/>
  <c r="D73" i="5"/>
  <c r="J7" i="5"/>
  <c r="J74" i="5" s="1"/>
  <c r="L74" i="5" s="1"/>
  <c r="E74" i="5"/>
  <c r="J5" i="5"/>
  <c r="J72" i="5" s="1"/>
  <c r="L72" i="5" s="1"/>
  <c r="E72" i="5"/>
  <c r="BA3" i="2"/>
  <c r="B5" i="5" s="1"/>
  <c r="AZ3" i="2"/>
  <c r="BU4" i="2"/>
  <c r="BV4" i="2"/>
  <c r="C6" i="5" s="1"/>
  <c r="BV7" i="2"/>
  <c r="C9" i="5" s="1"/>
  <c r="BU7" i="2"/>
  <c r="BU5" i="2"/>
  <c r="BV5" i="2"/>
  <c r="C7" i="5" s="1"/>
  <c r="BA5" i="2"/>
  <c r="B7" i="5" s="1"/>
  <c r="AZ5" i="2"/>
  <c r="BA4" i="2"/>
  <c r="B6" i="5" s="1"/>
  <c r="AZ4" i="2"/>
  <c r="BU6" i="2"/>
  <c r="BV6" i="2"/>
  <c r="C8" i="5" s="1"/>
  <c r="BA6" i="2"/>
  <c r="B8" i="5" s="1"/>
  <c r="AZ6" i="2"/>
  <c r="BA7" i="2"/>
  <c r="B9" i="5" s="1"/>
  <c r="AZ7" i="2"/>
  <c r="BV3" i="2"/>
  <c r="C5" i="5" s="1"/>
  <c r="BU3" i="2"/>
  <c r="H8" i="5" l="1"/>
  <c r="H75" i="5" s="1"/>
  <c r="C75" i="5"/>
  <c r="H9" i="5"/>
  <c r="H76" i="5" s="1"/>
  <c r="C76" i="5"/>
  <c r="H6" i="5"/>
  <c r="H73" i="5" s="1"/>
  <c r="C73" i="5"/>
  <c r="H5" i="5"/>
  <c r="H72" i="5" s="1"/>
  <c r="C72" i="5"/>
  <c r="G6" i="5"/>
  <c r="B73" i="5"/>
  <c r="G9" i="5"/>
  <c r="B76" i="5"/>
  <c r="G7" i="5"/>
  <c r="B74" i="5"/>
  <c r="G5" i="5"/>
  <c r="B72" i="5"/>
  <c r="H7" i="5"/>
  <c r="H74" i="5" s="1"/>
  <c r="C74" i="5"/>
  <c r="G8" i="5"/>
  <c r="B75" i="5"/>
  <c r="K5" i="5" l="1"/>
  <c r="B81" i="5" s="1"/>
  <c r="G72" i="5"/>
  <c r="K72" i="5" s="1"/>
  <c r="G74" i="5"/>
  <c r="K74" i="5" s="1"/>
  <c r="K7" i="5"/>
  <c r="D81" i="5" s="1"/>
  <c r="K8" i="5"/>
  <c r="E81" i="5" s="1"/>
  <c r="G75" i="5"/>
  <c r="K75" i="5" s="1"/>
  <c r="K9" i="5"/>
  <c r="F81" i="5" s="1"/>
  <c r="G76" i="5"/>
  <c r="K76" i="5" s="1"/>
  <c r="G73" i="5"/>
  <c r="K73" i="5" s="1"/>
  <c r="K6" i="5"/>
  <c r="C81" i="5" s="1"/>
</calcChain>
</file>

<file path=xl/sharedStrings.xml><?xml version="1.0" encoding="utf-8"?>
<sst xmlns="http://schemas.openxmlformats.org/spreadsheetml/2006/main" count="1996" uniqueCount="732">
  <si>
    <t>Bovinos Carne</t>
  </si>
  <si>
    <t>Bovinos Leche</t>
  </si>
  <si>
    <t>Porcinos</t>
  </si>
  <si>
    <t>Ovino</t>
  </si>
  <si>
    <t>Caprino</t>
  </si>
  <si>
    <t>Ave-carne</t>
  </si>
  <si>
    <t>Ave-huevo</t>
  </si>
  <si>
    <t>Chihuahua</t>
  </si>
  <si>
    <t>Guajolote</t>
  </si>
  <si>
    <t>Carne</t>
  </si>
  <si>
    <t>TOTAL</t>
  </si>
  <si>
    <t>Año</t>
  </si>
  <si>
    <t>Porcino</t>
  </si>
  <si>
    <t>Porcino-Carne</t>
  </si>
  <si>
    <t>Total</t>
  </si>
  <si>
    <t>Producción</t>
  </si>
  <si>
    <t>Población total</t>
  </si>
  <si>
    <t>Vientres</t>
  </si>
  <si>
    <t>Vaquillas</t>
  </si>
  <si>
    <t>Desarrollo</t>
  </si>
  <si>
    <t>Sementales</t>
  </si>
  <si>
    <t>Bovinos Leche (miles de litros)</t>
  </si>
  <si>
    <t>Litros</t>
  </si>
  <si>
    <t>Producción (miles de litros)</t>
  </si>
  <si>
    <t>Producción anual</t>
  </si>
  <si>
    <t>Diaria</t>
  </si>
  <si>
    <t>Peso Prom ganado en píe</t>
  </si>
  <si>
    <t>Otro peso</t>
  </si>
  <si>
    <t>Temp. Prom</t>
  </si>
  <si>
    <t>Gas</t>
  </si>
  <si>
    <t>Siglas</t>
  </si>
  <si>
    <t>CO2 equivalente</t>
  </si>
  <si>
    <t>Metano</t>
  </si>
  <si>
    <t>CH4</t>
  </si>
  <si>
    <t>Óxido Nitroso</t>
  </si>
  <si>
    <t>N2O</t>
  </si>
  <si>
    <t>3A1</t>
  </si>
  <si>
    <t>Especie</t>
  </si>
  <si>
    <t>Factor</t>
  </si>
  <si>
    <t>Unidad</t>
  </si>
  <si>
    <t>Región</t>
  </si>
  <si>
    <t>Producción (L-1 Año-1)</t>
  </si>
  <si>
    <t>Fuente</t>
  </si>
  <si>
    <t>Ubicación</t>
  </si>
  <si>
    <t>3A 1a</t>
  </si>
  <si>
    <t>Bovinos no lecheros</t>
  </si>
  <si>
    <t>Kg CH4 Cabeza-1Año-1</t>
  </si>
  <si>
    <t>Latin America</t>
  </si>
  <si>
    <t>NA</t>
  </si>
  <si>
    <t>IPCC-2006</t>
  </si>
  <si>
    <t>3A 1a i</t>
  </si>
  <si>
    <t>Bovinos Lecheros</t>
  </si>
  <si>
    <t>North America</t>
  </si>
  <si>
    <t>Western Europe</t>
  </si>
  <si>
    <t>Eastern Europe</t>
  </si>
  <si>
    <t>Oceania</t>
  </si>
  <si>
    <t>Asia</t>
  </si>
  <si>
    <t>Africa and middle east</t>
  </si>
  <si>
    <t>Indian Subcontinent</t>
  </si>
  <si>
    <t>3A 1</t>
  </si>
  <si>
    <t xml:space="preserve">Factor Desarrollados </t>
  </si>
  <si>
    <t>Factor en Desarrollo</t>
  </si>
  <si>
    <t>Peso</t>
  </si>
  <si>
    <t>Bovinos</t>
  </si>
  <si>
    <t>Lecheros</t>
  </si>
  <si>
    <t>3A 1a ii</t>
  </si>
  <si>
    <t>No lecheros</t>
  </si>
  <si>
    <t>3A 1 c</t>
  </si>
  <si>
    <t>Ovinos</t>
  </si>
  <si>
    <t>KgCh4 Cabeza-1 Año-1</t>
  </si>
  <si>
    <t>Tabla 10.10</t>
  </si>
  <si>
    <t>3A 1 d</t>
  </si>
  <si>
    <t>Caprinos</t>
  </si>
  <si>
    <t>3A 1 f</t>
  </si>
  <si>
    <t>Caballos</t>
  </si>
  <si>
    <t>3A 1 g</t>
  </si>
  <si>
    <t>Mulas y Asnos</t>
  </si>
  <si>
    <t>3A 1 h</t>
  </si>
  <si>
    <t>3A 1 j</t>
  </si>
  <si>
    <t>Pollos</t>
  </si>
  <si>
    <t>Factor Metano por temperatura en manejo de excretas</t>
  </si>
  <si>
    <t>Cerdos</t>
  </si>
  <si>
    <t>Otro ganado</t>
  </si>
  <si>
    <t>Lechero</t>
  </si>
  <si>
    <t>3A 2</t>
  </si>
  <si>
    <t>Frio &lt;10=14</t>
  </si>
  <si>
    <t>Templado &gt;15&lt;25</t>
  </si>
  <si>
    <t>Cálido &gt;24&gt;28</t>
  </si>
  <si>
    <t>Clima</t>
  </si>
  <si>
    <t>Temperatura</t>
  </si>
  <si>
    <t>Norte América</t>
  </si>
  <si>
    <t>América Latina</t>
  </si>
  <si>
    <t>Frío</t>
  </si>
  <si>
    <t>Lecheros Norte América</t>
  </si>
  <si>
    <t>Tabla 10.14</t>
  </si>
  <si>
    <t>Lecheros América Latina</t>
  </si>
  <si>
    <t>No lecheros Norte América</t>
  </si>
  <si>
    <t>No lecheros América Latina</t>
  </si>
  <si>
    <t>Ovinos Desarrollados</t>
  </si>
  <si>
    <t>Tabla 10.15</t>
  </si>
  <si>
    <t>Templado</t>
  </si>
  <si>
    <t>Ovinos Desarrollo</t>
  </si>
  <si>
    <t>Caprinos Desarrollados</t>
  </si>
  <si>
    <t>Caprinos Desarrollo</t>
  </si>
  <si>
    <t>Caballos Desarrollados</t>
  </si>
  <si>
    <t>Caballos Desarrollo</t>
  </si>
  <si>
    <t xml:space="preserve">Mulas y Asnos Desarrollados </t>
  </si>
  <si>
    <t>Mulas y Asnos Desarrollo</t>
  </si>
  <si>
    <t>Porcinos Engorda Norte América</t>
  </si>
  <si>
    <t>Porcinos Maternidad Norte América</t>
  </si>
  <si>
    <t>Porcinos América Latina</t>
  </si>
  <si>
    <t>3A 1 i</t>
  </si>
  <si>
    <t>Pollos (manejo seco)</t>
  </si>
  <si>
    <t>Caliente</t>
  </si>
  <si>
    <t>Pollos (manejo líquido)</t>
  </si>
  <si>
    <t>Pollos (engorda)</t>
  </si>
  <si>
    <t>Pavos</t>
  </si>
  <si>
    <t>Pollos Desarrollo (Paises)</t>
  </si>
  <si>
    <t>3 A 1j</t>
  </si>
  <si>
    <t>Ciervo</t>
  </si>
  <si>
    <t>Tabla 10.16</t>
  </si>
  <si>
    <t>Conejos</t>
  </si>
  <si>
    <t>VS para Cerdos</t>
  </si>
  <si>
    <t>Emisiones de Metano Manejo de excretas para cerdos al mercado</t>
  </si>
  <si>
    <t>Materia Seca (MS) por tipo de manejo de excretas (%)</t>
  </si>
  <si>
    <t>Masa (kg)</t>
  </si>
  <si>
    <t>Bo (m3Ch4/Kg VS)</t>
  </si>
  <si>
    <t>VS (Kg/Cabeza/Día)</t>
  </si>
  <si>
    <t>Laguna</t>
  </si>
  <si>
    <t>Manejo líquido</t>
  </si>
  <si>
    <t>Almacenamiento Sólido</t>
  </si>
  <si>
    <t>Dry lot</t>
  </si>
  <si>
    <t>Pit &lt; 1 motnh</t>
  </si>
  <si>
    <t>Pit &gt; 1 Month</t>
  </si>
  <si>
    <t>Esparcimiento Diario</t>
  </si>
  <si>
    <t>Digestor</t>
  </si>
  <si>
    <t>Otro</t>
  </si>
  <si>
    <t>10A.7</t>
  </si>
  <si>
    <t>Europa del Oeste</t>
  </si>
  <si>
    <t>Europa del Este</t>
  </si>
  <si>
    <t>Africa</t>
  </si>
  <si>
    <t>Medio Oeste</t>
  </si>
  <si>
    <t>India subcontinente</t>
  </si>
  <si>
    <t>Derivación del Factor de Emisión de Metano por manejo de excretas en cerdos a mercado (MCF) en porcentaje</t>
  </si>
  <si>
    <t>Derivación del Factor de Emisión de Metano por manejo de excretas en Leche (MCF) en porcentaje</t>
  </si>
  <si>
    <t>Leche</t>
  </si>
  <si>
    <t>Pasture range</t>
  </si>
  <si>
    <t>10A.4</t>
  </si>
  <si>
    <t>IPCC-2007</t>
  </si>
  <si>
    <t>10A.8</t>
  </si>
  <si>
    <t>IPCC-2008</t>
  </si>
  <si>
    <t>10A.9</t>
  </si>
  <si>
    <t>IPCC-2009</t>
  </si>
  <si>
    <t>10A.10</t>
  </si>
  <si>
    <t>IPCC-2010</t>
  </si>
  <si>
    <t>10A.11</t>
  </si>
  <si>
    <t>IPCC-2011</t>
  </si>
  <si>
    <t>10A.12</t>
  </si>
  <si>
    <t>IPCC-2012</t>
  </si>
  <si>
    <t>10A.13</t>
  </si>
  <si>
    <t>IPCC-2013</t>
  </si>
  <si>
    <t>10A.14</t>
  </si>
  <si>
    <t>IPCC-2014</t>
  </si>
  <si>
    <t>10A.15</t>
  </si>
  <si>
    <t>IPCC-2015</t>
  </si>
  <si>
    <t>10A.16</t>
  </si>
  <si>
    <t>IPCC-2016</t>
  </si>
  <si>
    <t>10A.17</t>
  </si>
  <si>
    <t>IPCC-2017</t>
  </si>
  <si>
    <t>10A.18</t>
  </si>
  <si>
    <t>IPCC-2018</t>
  </si>
  <si>
    <t>10A.19</t>
  </si>
  <si>
    <t>IPCC-2019</t>
  </si>
  <si>
    <t>10A.20</t>
  </si>
  <si>
    <t>IPCC-2020</t>
  </si>
  <si>
    <t>10A.21</t>
  </si>
  <si>
    <t>IPCC-2021</t>
  </si>
  <si>
    <t>10A.22</t>
  </si>
  <si>
    <t>IPCC-2022</t>
  </si>
  <si>
    <t>10A.23</t>
  </si>
  <si>
    <t>IPCC-2023</t>
  </si>
  <si>
    <t>10A.24</t>
  </si>
  <si>
    <t>IPCC-2024</t>
  </si>
  <si>
    <t>10A.25</t>
  </si>
  <si>
    <t>Emisiones de Metano Manejo de excretas para cerdos (hembras breeding)</t>
  </si>
  <si>
    <t>Excreción de Nitrogeno</t>
  </si>
  <si>
    <t xml:space="preserve">Fuente </t>
  </si>
  <si>
    <t xml:space="preserve">Kg N (1000 Kg peso vivo)-1 día -1 </t>
  </si>
  <si>
    <t>Tabla 10.19</t>
  </si>
  <si>
    <t>No lecheros Eastern Europe</t>
  </si>
  <si>
    <t xml:space="preserve">Ovinos </t>
  </si>
  <si>
    <t xml:space="preserve">Caprinos </t>
  </si>
  <si>
    <t xml:space="preserve">Mulas y Asnos </t>
  </si>
  <si>
    <t>Porcinos América Latina engorda</t>
  </si>
  <si>
    <t>Porcinos América Latina maternidad</t>
  </si>
  <si>
    <t>Gallinas</t>
  </si>
  <si>
    <t>Pollas</t>
  </si>
  <si>
    <t>Pollos Desarrollo</t>
  </si>
  <si>
    <t>N2O por tipo de sistema de manejo de excretas</t>
  </si>
  <si>
    <t>Tipo</t>
  </si>
  <si>
    <t>Pastoreo Ovinos y otros</t>
  </si>
  <si>
    <t>Kg N2O</t>
  </si>
  <si>
    <t>Tabla 11.1</t>
  </si>
  <si>
    <t>Pastoreo Bovinos, Cerdos y aves</t>
  </si>
  <si>
    <t>Esparcimiento diario</t>
  </si>
  <si>
    <t>Tabla 10.21</t>
  </si>
  <si>
    <t>Estercolero</t>
  </si>
  <si>
    <t>Corral</t>
  </si>
  <si>
    <t>Manejo líquido con costra</t>
  </si>
  <si>
    <t>Manejo líquido sin costra</t>
  </si>
  <si>
    <t xml:space="preserve">Laguna anaerobia </t>
  </si>
  <si>
    <t>Piso de rejilla</t>
  </si>
  <si>
    <t>Digestor anaerobio</t>
  </si>
  <si>
    <t>Cama profunda para vacas y cerdos con mezclado</t>
  </si>
  <si>
    <t>Cama profunda para vacas y cerdos sin mezclado</t>
  </si>
  <si>
    <t>Composteo en contenedores</t>
  </si>
  <si>
    <t>Composteo en pila estática</t>
  </si>
  <si>
    <t>Composteo en camellones intensivo</t>
  </si>
  <si>
    <t>Composteo en camellones lento</t>
  </si>
  <si>
    <t>Cama profunda  en pollos de engorda</t>
  </si>
  <si>
    <t>Pollos de engorda en seco sin cama</t>
  </si>
  <si>
    <t>Laguna aerobia con airación natural</t>
  </si>
  <si>
    <t xml:space="preserve">Laguna aerobia con airación mecánica </t>
  </si>
  <si>
    <t>Volatilización de NH3</t>
  </si>
  <si>
    <t>3A2</t>
  </si>
  <si>
    <t>Cama Profunda</t>
  </si>
  <si>
    <t>Manejo Líquido</t>
  </si>
  <si>
    <t>%</t>
  </si>
  <si>
    <t>IPCC 2006</t>
  </si>
  <si>
    <t>Tabla 10.22</t>
  </si>
  <si>
    <t>Bovinos lecheros</t>
  </si>
  <si>
    <t>Volatilización NH3</t>
  </si>
  <si>
    <t>Tabla 10.23</t>
  </si>
  <si>
    <t>Volatilización en pastoreo</t>
  </si>
  <si>
    <t>3C6</t>
  </si>
  <si>
    <t>Todas</t>
  </si>
  <si>
    <t>KgNH3(KgN applied)</t>
  </si>
  <si>
    <t>Factor emisión N20 indirectos</t>
  </si>
  <si>
    <t>KgN2O(KgNH3 Volatilised)</t>
  </si>
  <si>
    <t>M3 biodigestores</t>
  </si>
  <si>
    <t>TR=-51.227 Ln(T) + 206.72</t>
  </si>
  <si>
    <t>R2=.8817</t>
  </si>
  <si>
    <t>Días</t>
  </si>
  <si>
    <t>TRH</t>
  </si>
  <si>
    <t>Animales en biodigestor</t>
  </si>
  <si>
    <t>Vientres B</t>
  </si>
  <si>
    <t>Vaquillas B</t>
  </si>
  <si>
    <t>Desarrollo B</t>
  </si>
  <si>
    <t>Sementales B</t>
  </si>
  <si>
    <t>APPVientres B</t>
  </si>
  <si>
    <t>APPVaquillas B</t>
  </si>
  <si>
    <t>APPDesarrollo B</t>
  </si>
  <si>
    <t>APPSementales B</t>
  </si>
  <si>
    <t xml:space="preserve">APPVientres </t>
  </si>
  <si>
    <t xml:space="preserve">APPVaquillas </t>
  </si>
  <si>
    <t xml:space="preserve">APPDesarrollo </t>
  </si>
  <si>
    <t xml:space="preserve">APPSementales </t>
  </si>
  <si>
    <t>Edad vientre</t>
  </si>
  <si>
    <t>Edad Vaquillas</t>
  </si>
  <si>
    <t>Edad Desarrollo</t>
  </si>
  <si>
    <t>Edad sementales</t>
  </si>
  <si>
    <t>FE CH4 EF (Kg CH4/cab/año) Vientres</t>
  </si>
  <si>
    <t>FE CH4 EF (Kg CH4/cab/año) Otros</t>
  </si>
  <si>
    <t xml:space="preserve">Kg CH4 Vientres </t>
  </si>
  <si>
    <t xml:space="preserve">Kg CH4 Vaquillas </t>
  </si>
  <si>
    <t xml:space="preserve">Kg CH4 Desarrollo </t>
  </si>
  <si>
    <t xml:space="preserve">Kg CH4 Sementales </t>
  </si>
  <si>
    <t>Kg CH4 Vientres B</t>
  </si>
  <si>
    <t>Kg CH4 Vaquillas B</t>
  </si>
  <si>
    <t>Kg CH4 Desarrollo B</t>
  </si>
  <si>
    <t>Kg CH4 Sementales B</t>
  </si>
  <si>
    <t>Total Kg CH4 Fermentación</t>
  </si>
  <si>
    <t>VS Leche</t>
  </si>
  <si>
    <t>VS Kg/ Cab/día</t>
  </si>
  <si>
    <t>B0 m3/CH4/ KG VS</t>
  </si>
  <si>
    <t>MCFs Líquido</t>
  </si>
  <si>
    <t>MCFs Laguna</t>
  </si>
  <si>
    <t>MCFs Biodigestor</t>
  </si>
  <si>
    <t>FE CH4 líquido</t>
  </si>
  <si>
    <t>FE Laguna</t>
  </si>
  <si>
    <t>FE Biodigestor</t>
  </si>
  <si>
    <t xml:space="preserve">CH4 M&amp;M Vientres </t>
  </si>
  <si>
    <t xml:space="preserve">CH4 M&amp;M Vaquillas </t>
  </si>
  <si>
    <t xml:space="preserve">CH4 M&amp;M Desarrollo </t>
  </si>
  <si>
    <t xml:space="preserve">CH4 M&amp;M Sementales </t>
  </si>
  <si>
    <t>Total CH4 M&amp;M sin biodigestor</t>
  </si>
  <si>
    <t>CH4 M&amp;M Vientres B</t>
  </si>
  <si>
    <t>CH4 M&amp;M Vaquillas B</t>
  </si>
  <si>
    <t>CH4 M&amp;M Desarrollo B</t>
  </si>
  <si>
    <t>CH4 M&amp;M Sementales B</t>
  </si>
  <si>
    <t>Total CH4 M&amp;M con biodigestor</t>
  </si>
  <si>
    <t>TOTAL Kg CH4 M&amp;M Hato</t>
  </si>
  <si>
    <t>Gg CH4 hato Fermentación</t>
  </si>
  <si>
    <t>Mt CH4 hato fermentación</t>
  </si>
  <si>
    <t>Mt CH4 hato M&amp;M</t>
  </si>
  <si>
    <t>Gg CH4 hato M&amp;M</t>
  </si>
  <si>
    <t>Fexc N</t>
  </si>
  <si>
    <t xml:space="preserve">Kg N excretado Vientres </t>
  </si>
  <si>
    <t xml:space="preserve">Kg N excretado Vaquillas </t>
  </si>
  <si>
    <t xml:space="preserve">Kg N excretado Desarrollo </t>
  </si>
  <si>
    <t xml:space="preserve">Kg N excretado Sementales </t>
  </si>
  <si>
    <t>Kg N excretado Vientres B</t>
  </si>
  <si>
    <t>Kg N excretado Vaquillas B</t>
  </si>
  <si>
    <t>Kg N excretado Desarrollo B</t>
  </si>
  <si>
    <t>Kg N excretado Sementales B</t>
  </si>
  <si>
    <t>FE N2O Líquido</t>
  </si>
  <si>
    <t>FE N2O Laguna</t>
  </si>
  <si>
    <t>FE Indirect N2O</t>
  </si>
  <si>
    <t>F NH3 manejo líquido</t>
  </si>
  <si>
    <t xml:space="preserve">Kg N2O Vientres </t>
  </si>
  <si>
    <t>Kg N2O Vientres B</t>
  </si>
  <si>
    <t>Total N2O M&amp;M sin biodigestor</t>
  </si>
  <si>
    <t xml:space="preserve">Kg N2O Vaquillas </t>
  </si>
  <si>
    <t xml:space="preserve">Kg N2O Desarrollo </t>
  </si>
  <si>
    <t xml:space="preserve">Kg N2O Sementales </t>
  </si>
  <si>
    <t>Kg N2O Vaquillas B</t>
  </si>
  <si>
    <t>Kg N2O  Desarrollo B</t>
  </si>
  <si>
    <t>Kg N2O  Sementales B</t>
  </si>
  <si>
    <t>TOTAL Kg N20 Directo sM&amp;M Hato</t>
  </si>
  <si>
    <t>Bovino carne</t>
  </si>
  <si>
    <t>Bovino leche</t>
  </si>
  <si>
    <t>Engorda</t>
  </si>
  <si>
    <t>Bovino</t>
  </si>
  <si>
    <t>Bovinos Carne toneladas</t>
  </si>
  <si>
    <t>Producción (toneladas)</t>
  </si>
  <si>
    <t>Animales finalizados Estimado</t>
  </si>
  <si>
    <t>Edad engorda</t>
  </si>
  <si>
    <t>4a 1a i</t>
  </si>
  <si>
    <t>Otros bovinos</t>
  </si>
  <si>
    <t>Engorda B</t>
  </si>
  <si>
    <t>APPEngorda</t>
  </si>
  <si>
    <t>Kg CH4 Engorda</t>
  </si>
  <si>
    <t>Kg CH4 Engorda B</t>
  </si>
  <si>
    <t>APPEngorda B</t>
  </si>
  <si>
    <t>Kg CH4 engorda</t>
  </si>
  <si>
    <t>MCFs Pastoreo</t>
  </si>
  <si>
    <t>MCFs Corral</t>
  </si>
  <si>
    <t>MCFs Estercolero</t>
  </si>
  <si>
    <t>FE CH4 pastoreo</t>
  </si>
  <si>
    <t>FE Corral</t>
  </si>
  <si>
    <t>FE Estercolero</t>
  </si>
  <si>
    <t>CH4 M&amp;M Engorda</t>
  </si>
  <si>
    <t>CH4 M&amp;M Engorda B</t>
  </si>
  <si>
    <t xml:space="preserve">Kg N Engorda </t>
  </si>
  <si>
    <t>FE N2O Pastoreo</t>
  </si>
  <si>
    <t>FE N2O Corral</t>
  </si>
  <si>
    <t>Kg N2O Engorda</t>
  </si>
  <si>
    <t>FE N2O Estercolero</t>
  </si>
  <si>
    <t>Peso engorda</t>
  </si>
  <si>
    <t>Pesso lechones</t>
  </si>
  <si>
    <t>Lechones</t>
  </si>
  <si>
    <t>Edad destete</t>
  </si>
  <si>
    <t>Lechones B</t>
  </si>
  <si>
    <t xml:space="preserve">APP Vientres </t>
  </si>
  <si>
    <t xml:space="preserve">APP Engorda </t>
  </si>
  <si>
    <t xml:space="preserve">APP Lechones </t>
  </si>
  <si>
    <t xml:space="preserve">APP Sementales </t>
  </si>
  <si>
    <t>APP Vientres  B</t>
  </si>
  <si>
    <t>APP Engorda B</t>
  </si>
  <si>
    <t>APP Lechones B</t>
  </si>
  <si>
    <t>APP Sementales B</t>
  </si>
  <si>
    <t xml:space="preserve">Kg CH4  Vientres </t>
  </si>
  <si>
    <t xml:space="preserve">Kg CH4 Engorda </t>
  </si>
  <si>
    <t xml:space="preserve">Kg CH4 Lechones </t>
  </si>
  <si>
    <t xml:space="preserve">KG CH4 Sementales </t>
  </si>
  <si>
    <t>Kg CH4  Vientres  B</t>
  </si>
  <si>
    <t>Kg CH4 Lechones B</t>
  </si>
  <si>
    <t>KG CH4 Sementales B</t>
  </si>
  <si>
    <t>VS Kg/ Cab/día Hembras</t>
  </si>
  <si>
    <t>VS Kg/ Cab/día Otros</t>
  </si>
  <si>
    <t>B0 m3/CH4/ KG VS (hembras)</t>
  </si>
  <si>
    <t>B0 m3/CH4/ KG VS (Otros)</t>
  </si>
  <si>
    <t>FE CH4 líquido (otros)</t>
  </si>
  <si>
    <t>FE Laguna (otros)</t>
  </si>
  <si>
    <t>FE Biodigestor (otros)</t>
  </si>
  <si>
    <t>FE CH4 líquido (hembras)</t>
  </si>
  <si>
    <t>FE Laguna (hembras)</t>
  </si>
  <si>
    <t>FE Biodigestor (hembras)</t>
  </si>
  <si>
    <t xml:space="preserve">Kg CH4  M&amp;M Vientres </t>
  </si>
  <si>
    <t xml:space="preserve">Kg CH4 M&amp;M Engorda </t>
  </si>
  <si>
    <t xml:space="preserve">Kg CH4 M&amp;M Lechones </t>
  </si>
  <si>
    <t xml:space="preserve">KG CH4 M&amp;M Sementales </t>
  </si>
  <si>
    <t>Kg CH4  M&amp;M Vientres B</t>
  </si>
  <si>
    <t>Kg CH4 M&amp;M Engorda B</t>
  </si>
  <si>
    <t>Kg CH4 M&amp;M Lechones B</t>
  </si>
  <si>
    <t>KG CH4 M&amp;M Sementales B</t>
  </si>
  <si>
    <t>Fexc N (Hembras)</t>
  </si>
  <si>
    <t>Fexc N (Otros)</t>
  </si>
  <si>
    <t>Kg N excretado Destete</t>
  </si>
  <si>
    <t>Kg N excretado Engorda B</t>
  </si>
  <si>
    <t>Kg N excretado Destete B</t>
  </si>
  <si>
    <t>Kg CH4 Hato</t>
  </si>
  <si>
    <t>CH4 M&amp;M Hato</t>
  </si>
  <si>
    <t>Kg N2O hato</t>
  </si>
  <si>
    <t xml:space="preserve">Total N2O M&amp;M </t>
  </si>
  <si>
    <t>KgN residual</t>
  </si>
  <si>
    <t>Mulas</t>
  </si>
  <si>
    <t>Asnos</t>
  </si>
  <si>
    <t>Bonivos</t>
  </si>
  <si>
    <t xml:space="preserve">Mulas </t>
  </si>
  <si>
    <t>N pastoreo</t>
  </si>
  <si>
    <t>Aves huevo</t>
  </si>
  <si>
    <t>CH4 M&amp;M Parvada</t>
  </si>
  <si>
    <t xml:space="preserve">Total CH4 M&amp;M </t>
  </si>
  <si>
    <t>FE N2O sin cama</t>
  </si>
  <si>
    <t>FE N2O estercolero</t>
  </si>
  <si>
    <t>FE N2O Indirectos</t>
  </si>
  <si>
    <t>F NH3 manejo seco</t>
  </si>
  <si>
    <t>TOTAL Kg CH4 M&amp;M parvada</t>
  </si>
  <si>
    <t>Mt CH4 parvada M&amp;M</t>
  </si>
  <si>
    <t>Gg CH4 parvada M&amp;M</t>
  </si>
  <si>
    <t>Kg N excretado parvada</t>
  </si>
  <si>
    <t>Kg N2O sin cama</t>
  </si>
  <si>
    <t>Kg N2O Estercolero</t>
  </si>
  <si>
    <t>Kg N2O Indirectos</t>
  </si>
  <si>
    <t>Aves carne</t>
  </si>
  <si>
    <t>Duración postura</t>
  </si>
  <si>
    <t>APPParvada</t>
  </si>
  <si>
    <t>Duración engorda</t>
  </si>
  <si>
    <t>Guajolotes</t>
  </si>
  <si>
    <t>CH4 Fermentación</t>
  </si>
  <si>
    <t>CH4 M&amp;M</t>
  </si>
  <si>
    <t>N2O M&amp;M</t>
  </si>
  <si>
    <t>N2O M&amp;M indirecto</t>
  </si>
  <si>
    <t>Gg N2O hato M&amp;M</t>
  </si>
  <si>
    <t>Mt N2O hato M&amp;M</t>
  </si>
  <si>
    <t>Bovinos leche</t>
  </si>
  <si>
    <t>Indirectos</t>
  </si>
  <si>
    <t xml:space="preserve">Mt N2O hato M&amp;M </t>
  </si>
  <si>
    <t>RESIDUAL</t>
  </si>
  <si>
    <t>INDIRECTOS</t>
  </si>
  <si>
    <t>Mt N2O hato Indirectos</t>
  </si>
  <si>
    <t>Gg N2O hato indirectos</t>
  </si>
  <si>
    <t>Residual</t>
  </si>
  <si>
    <t>FE N2O indirectos</t>
  </si>
  <si>
    <t>Kg N2O Destete</t>
  </si>
  <si>
    <t>Kg N2O Engorda B</t>
  </si>
  <si>
    <t>CO2e CH4 entérico</t>
  </si>
  <si>
    <t>CO2e CH4 M&amp;M</t>
  </si>
  <si>
    <t>CO2e N2O M&amp;M</t>
  </si>
  <si>
    <t>CO2e N2O M&amp;M indirectos</t>
  </si>
  <si>
    <t>3A</t>
  </si>
  <si>
    <t>Bovinos carne</t>
  </si>
  <si>
    <t>Mulas y asnos</t>
  </si>
  <si>
    <t>Aves de corral</t>
  </si>
  <si>
    <t>m</t>
  </si>
  <si>
    <t>b</t>
  </si>
  <si>
    <t>año</t>
  </si>
  <si>
    <t>tmca_av</t>
  </si>
  <si>
    <t>https://www.gob.mx/cms/uploads/attachment/file/412563/Bovino_carne_2017.pdf</t>
  </si>
  <si>
    <t>https://www.gob.mx/siap/documentos/poblacion-ganadera-136762?idiom=es</t>
  </si>
  <si>
    <t>Emisiones (Gg CO2e)</t>
  </si>
  <si>
    <t>https://www.gob.mx/cms/uploads/attachment/file/412564/Bovino_leche_2017.pdf</t>
  </si>
  <si>
    <t>Población Ganadera Oficial (Número de cabezas)</t>
  </si>
  <si>
    <t>Razón Emisiones/Cabezas</t>
  </si>
  <si>
    <t>[1]</t>
  </si>
  <si>
    <t>[2]</t>
  </si>
  <si>
    <t>[3]</t>
  </si>
  <si>
    <t>[4]</t>
  </si>
  <si>
    <t>[5]</t>
  </si>
  <si>
    <t>Archivo: InvEstatalGEI_Chihuahua13-17.xlsx Sheet: InvEstatalGEI_Chihuahua13-17 Cells: A121:K121</t>
  </si>
  <si>
    <t>Archivo: InvEstatalGEI_Chihuahua13-17.xlsx Sheet: InvEstatalGEI_Chihuahua13-17 Cells: A111:K111</t>
  </si>
  <si>
    <r>
      <t>(Gg CO</t>
    </r>
    <r>
      <rPr>
        <vertAlign val="subscript"/>
        <sz val="11"/>
        <color theme="1"/>
        <rFont val="Calibri"/>
        <family val="2"/>
        <scheme val="minor"/>
      </rPr>
      <t>2</t>
    </r>
    <r>
      <rPr>
        <sz val="11"/>
        <color theme="1"/>
        <rFont val="Calibri"/>
        <family val="2"/>
        <scheme val="minor"/>
      </rPr>
      <t>e)</t>
    </r>
  </si>
  <si>
    <t>Simplificación para la proyección de las estimaciones del sector ganadero</t>
  </si>
  <si>
    <t>3A1a</t>
  </si>
  <si>
    <t>3A2a</t>
  </si>
  <si>
    <r>
      <t>E_3A</t>
    </r>
    <r>
      <rPr>
        <i/>
        <sz val="11"/>
        <color theme="1"/>
        <rFont val="Times New Roman"/>
        <family val="1"/>
      </rPr>
      <t>i</t>
    </r>
    <r>
      <rPr>
        <sz val="10"/>
        <color theme="1"/>
        <rFont val="Calibri"/>
        <family val="2"/>
        <scheme val="minor"/>
      </rPr>
      <t>a</t>
    </r>
  </si>
  <si>
    <r>
      <t>Emisiones totales de la categoría 3A por fermentación entérica (</t>
    </r>
    <r>
      <rPr>
        <i/>
        <sz val="11"/>
        <color theme="1"/>
        <rFont val="Times New Roman"/>
        <family val="1"/>
      </rPr>
      <t>i</t>
    </r>
    <r>
      <rPr>
        <sz val="10"/>
        <color theme="1"/>
        <rFont val="Calibri"/>
        <family val="2"/>
        <scheme val="minor"/>
      </rPr>
      <t>=1) o gestión del estiércol (</t>
    </r>
    <r>
      <rPr>
        <i/>
        <sz val="11"/>
        <color theme="1"/>
        <rFont val="Times New Roman"/>
        <family val="1"/>
      </rPr>
      <t>i</t>
    </r>
    <r>
      <rPr>
        <sz val="10"/>
        <color theme="1"/>
        <rFont val="Calibri"/>
        <family val="2"/>
        <scheme val="minor"/>
      </rPr>
      <t>=2)</t>
    </r>
  </si>
  <si>
    <t>3A1a Fermentación entérica [4]</t>
  </si>
  <si>
    <t>3A2a Gestión del estiércol [5]</t>
  </si>
  <si>
    <t>Bovinos Carne    [1] [2]</t>
  </si>
  <si>
    <t>Bovinos Leche   [1] [3]</t>
  </si>
  <si>
    <t>Este trabajo. Inventario estatal de emisiones de gases de efecto invernadero - Fermentación entérica - 3A1a Bovino.</t>
  </si>
  <si>
    <t>Este trabajo. Inventario estatal de emisiones de gases de efecto invernadero - Gestión del estiércol - 3A2a Bovino.</t>
  </si>
  <si>
    <t>Fuentes:</t>
  </si>
  <si>
    <t>E_3A1a = 1.66589605E-03*p_total</t>
  </si>
  <si>
    <t>E_3A2a = 1.88169590E-03*p_total</t>
  </si>
  <si>
    <t>p_total</t>
  </si>
  <si>
    <t>Población total de cabezas de ganado: bovino carne más bovino leche (en número de cabezas)</t>
  </si>
  <si>
    <t>Proyección de la población</t>
  </si>
  <si>
    <t>Población Total de Bovinos</t>
  </si>
  <si>
    <t>Proyección con el ajuste lineal</t>
  </si>
  <si>
    <t>Resultados de la regresión lineal de los datos disponibles</t>
  </si>
  <si>
    <t>y_i</t>
  </si>
  <si>
    <t>y_f</t>
  </si>
  <si>
    <t>z</t>
  </si>
  <si>
    <t>r</t>
  </si>
  <si>
    <t>El análisis en estas columnas se hizo para mostrar que las proyecciones realizadas con la fórmula tradicional de la tasa media de crecimiento anual resultan en una gran variación de las proyecciones a largo plazo, dependiendo de los años que se tomen como inicial y final. En el caso de los cáculos de las celdas O2:X30, el año inicial es 2008 y el año final se varía hasta 2017. Las proyecciones al 2032 tienen una variación desde 2.2 hasta 8.7 millones de cabezas, dependiendo del año final considerado.
El método propuesto de ajustar los datos disponibles a una linea y de ahi derivar la tasa de crecimiento resulta en proyecciones más consistentes porque minimiza las desviaciones de los datos con respecto a la tendencia de todo el período, i.e. incluye todos los datos disponibles y no solo los del año inicial y final.</t>
  </si>
  <si>
    <t>z =</t>
  </si>
  <si>
    <t>r =</t>
  </si>
  <si>
    <t>m =</t>
  </si>
  <si>
    <t>b =</t>
  </si>
  <si>
    <t>Promedio</t>
  </si>
  <si>
    <t>Misma tabla que la de C3:H14, pero se incluye la razón de emisiones a cabezas, en caso de que lo del ajuste lineal no sea una opción</t>
  </si>
  <si>
    <t xml:space="preserve"> número de cabezas de ganado</t>
  </si>
  <si>
    <t>Población</t>
  </si>
  <si>
    <t>cabezas de ganado</t>
  </si>
  <si>
    <t>3A1a Fermentación entérica</t>
  </si>
  <si>
    <t>3A2a Gestión del estiércol</t>
  </si>
  <si>
    <t>3A1a Fermentación entérica:</t>
  </si>
  <si>
    <t>3A2a Gestión del estiércol:</t>
  </si>
  <si>
    <r>
      <t>Gg CO</t>
    </r>
    <r>
      <rPr>
        <vertAlign val="subscript"/>
        <sz val="9"/>
        <color theme="1"/>
        <rFont val="Calibri"/>
        <family val="2"/>
        <scheme val="minor"/>
      </rPr>
      <t>2</t>
    </r>
    <r>
      <rPr>
        <sz val="9"/>
        <color theme="1"/>
        <rFont val="Calibri"/>
        <family val="2"/>
        <scheme val="minor"/>
      </rPr>
      <t>e</t>
    </r>
  </si>
  <si>
    <t>Operación y Mantenimiento</t>
  </si>
  <si>
    <t>Combustible</t>
  </si>
  <si>
    <t>Carbono</t>
  </si>
  <si>
    <t>Desmantelamiento</t>
  </si>
  <si>
    <t>USD/ha</t>
  </si>
  <si>
    <t>Superficie</t>
  </si>
  <si>
    <t>ha</t>
  </si>
  <si>
    <t>Superficie efectiva</t>
  </si>
  <si>
    <t>Fertilizante</t>
  </si>
  <si>
    <t>Superficie agostadero</t>
  </si>
  <si>
    <t>Superficie forraje</t>
  </si>
  <si>
    <t>Superficie pastoreo</t>
  </si>
  <si>
    <t>kg/cab/año</t>
  </si>
  <si>
    <t>kg/ha/año</t>
  </si>
  <si>
    <t>Base</t>
  </si>
  <si>
    <t>Escenario</t>
  </si>
  <si>
    <t>SSPi</t>
  </si>
  <si>
    <t>Alimento 1 ganado lechero</t>
  </si>
  <si>
    <t>Alimento 2 ganado lechero</t>
  </si>
  <si>
    <t>Riegos</t>
  </si>
  <si>
    <t>???</t>
  </si>
  <si>
    <t>Inversión diferida</t>
  </si>
  <si>
    <t>Inversion fija</t>
  </si>
  <si>
    <t>Capital de trabajo</t>
  </si>
  <si>
    <t>Ingresos totales en 10 años ($)</t>
  </si>
  <si>
    <t>Egresos totales en 10 años ($)</t>
  </si>
  <si>
    <t>Ingresos menos egresos operativos ($)</t>
  </si>
  <si>
    <t>Tasa interna de rendimiento (TIR)</t>
  </si>
  <si>
    <t>Valor actual neto (VAN) al 10%</t>
  </si>
  <si>
    <t>Periodo de recuperación de las inversiones con un VAN al 10%</t>
  </si>
  <si>
    <t>No se da bajo ningún horizonte de proyecto</t>
  </si>
  <si>
    <t>Se da utilizando un horizonte a 7 años</t>
  </si>
  <si>
    <t>Relación beneficio-costo operativo a valores constantes (ingresos/egresos)</t>
  </si>
  <si>
    <t>Relación beneficio-costo (flujos actualizados al 10%/inversiones)</t>
  </si>
  <si>
    <t>Tasa de descuento supuesta</t>
  </si>
  <si>
    <t>Reinversión de flujos netos de caja</t>
  </si>
  <si>
    <t>Inversión</t>
  </si>
  <si>
    <t>Capacidad de secuestro</t>
  </si>
  <si>
    <t>EXPERIENCIAS EXITOSAS: UNA ALTERNATIVA ECONÓMICA Y DE CONSERVACIÓN. Luis Caraza Stoumen. En Halffter, G., M. Cruz y C. Huerta (Comps.). 2018. Ganadería sustentable en el Golfo de México. Instituto de Ecología, A.C., México, 432 pp, p 316.</t>
  </si>
  <si>
    <r>
      <t>MgCO</t>
    </r>
    <r>
      <rPr>
        <vertAlign val="subscript"/>
        <sz val="11"/>
        <color theme="1"/>
        <rFont val="Calibri"/>
        <family val="2"/>
        <scheme val="minor"/>
      </rPr>
      <t>2</t>
    </r>
    <r>
      <rPr>
        <sz val="11"/>
        <color theme="1"/>
        <rFont val="Calibri"/>
        <family val="2"/>
        <scheme val="minor"/>
      </rPr>
      <t>e</t>
    </r>
  </si>
  <si>
    <r>
      <t>MgCO</t>
    </r>
    <r>
      <rPr>
        <vertAlign val="subscript"/>
        <sz val="11"/>
        <color theme="1"/>
        <rFont val="Calibri"/>
        <family val="2"/>
        <scheme val="minor"/>
      </rPr>
      <t>2</t>
    </r>
    <r>
      <rPr>
        <sz val="11"/>
        <color theme="1"/>
        <rFont val="Calibri"/>
        <family val="2"/>
        <scheme val="minor"/>
      </rPr>
      <t>/ha</t>
    </r>
  </si>
  <si>
    <t xml:space="preserve">Es generalmente aceptado que un bosque maduro tiene la capacidad de secuestrar hasta 30 toneladas de CO2 al año, valor que en una pradera con pastoreo continuo y extensivo es casi nulo. En cambio, en una pradera manejada racionalmente, con ganadería sustentable, se pueden secuestrar hasta 10 toneladas por hectárea. </t>
  </si>
  <si>
    <t>kg/ha año</t>
  </si>
  <si>
    <t>Producción de carne</t>
  </si>
  <si>
    <t>Superficie requerida</t>
  </si>
  <si>
    <t>Convencional</t>
  </si>
  <si>
    <t>Mejorado</t>
  </si>
  <si>
    <t>Emisión de metano</t>
  </si>
  <si>
    <t>Captura total de C</t>
  </si>
  <si>
    <t>Balance GEI</t>
  </si>
  <si>
    <r>
      <t>MgCO</t>
    </r>
    <r>
      <rPr>
        <vertAlign val="subscript"/>
        <sz val="11"/>
        <color theme="1"/>
        <rFont val="Calibri"/>
        <family val="2"/>
        <scheme val="minor"/>
      </rPr>
      <t>2</t>
    </r>
    <r>
      <rPr>
        <sz val="11"/>
        <color theme="1"/>
        <rFont val="Calibri"/>
        <family val="2"/>
        <scheme val="minor"/>
      </rPr>
      <t>e/ha</t>
    </r>
  </si>
  <si>
    <t>Los sistemas silvopastoriles intensivos SSPI, herramienta de mitigación y adaptación al cambio climático. Murgueitio R. E., Chará O.J., Barahona R.R. Cuartas C.C. y Naranjo R.J. IV Congreso Internacional sobre Sistemas Silvopastoriles Intensivos. p 4. Marzo 2012. Morelia México.</t>
  </si>
  <si>
    <t>Carga de animales</t>
  </si>
  <si>
    <t>UA/ha</t>
  </si>
  <si>
    <t>Balance GEI por unidad de área</t>
  </si>
  <si>
    <t>Balance GEI específico</t>
  </si>
  <si>
    <r>
      <t>MgCO</t>
    </r>
    <r>
      <rPr>
        <vertAlign val="subscript"/>
        <sz val="11"/>
        <color theme="1"/>
        <rFont val="Calibri"/>
        <family val="2"/>
        <scheme val="minor"/>
      </rPr>
      <t>2</t>
    </r>
    <r>
      <rPr>
        <sz val="11"/>
        <color theme="1"/>
        <rFont val="Calibri"/>
        <family val="2"/>
        <scheme val="minor"/>
      </rPr>
      <t>e/UA</t>
    </r>
  </si>
  <si>
    <t>t/año</t>
  </si>
  <si>
    <t>kg/año</t>
  </si>
  <si>
    <r>
      <t>Emisión promedio de CH</t>
    </r>
    <r>
      <rPr>
        <vertAlign val="subscript"/>
        <sz val="11"/>
        <color theme="1"/>
        <rFont val="Calibri"/>
        <family val="2"/>
        <scheme val="minor"/>
      </rPr>
      <t>4</t>
    </r>
  </si>
  <si>
    <t>Tabla 1</t>
  </si>
  <si>
    <t>Tabla 2</t>
  </si>
  <si>
    <r>
      <t>Potencial de calentamiento global del CH</t>
    </r>
    <r>
      <rPr>
        <vertAlign val="subscript"/>
        <sz val="11"/>
        <color theme="1"/>
        <rFont val="Calibri"/>
        <family val="2"/>
        <scheme val="minor"/>
      </rPr>
      <t>4</t>
    </r>
  </si>
  <si>
    <t>―</t>
  </si>
  <si>
    <r>
      <t>kgCO</t>
    </r>
    <r>
      <rPr>
        <vertAlign val="subscript"/>
        <sz val="11"/>
        <color theme="1"/>
        <rFont val="Calibri"/>
        <family val="2"/>
      </rPr>
      <t>2</t>
    </r>
    <r>
      <rPr>
        <sz val="11"/>
        <color theme="1"/>
        <rFont val="Calibri"/>
        <family val="2"/>
      </rPr>
      <t>e/ha año</t>
    </r>
  </si>
  <si>
    <r>
      <t>Emisión de CH</t>
    </r>
    <r>
      <rPr>
        <vertAlign val="subscript"/>
        <sz val="11"/>
        <color theme="1"/>
        <rFont val="Calibri"/>
        <family val="2"/>
        <scheme val="minor"/>
      </rPr>
      <t>4</t>
    </r>
    <r>
      <rPr>
        <sz val="11"/>
        <color theme="1"/>
        <rFont val="Calibri"/>
        <family val="2"/>
        <scheme val="minor"/>
      </rPr>
      <t xml:space="preserve"> por unidad de área</t>
    </r>
  </si>
  <si>
    <r>
      <t>Emisión de CH</t>
    </r>
    <r>
      <rPr>
        <vertAlign val="subscript"/>
        <sz val="11"/>
        <color theme="1"/>
        <rFont val="Calibri"/>
        <family val="2"/>
        <scheme val="minor"/>
      </rPr>
      <t>4</t>
    </r>
  </si>
  <si>
    <r>
      <t>MgCO</t>
    </r>
    <r>
      <rPr>
        <vertAlign val="subscript"/>
        <sz val="11"/>
        <color theme="1"/>
        <rFont val="Calibri"/>
        <family val="2"/>
      </rPr>
      <t>2</t>
    </r>
    <r>
      <rPr>
        <sz val="11"/>
        <color theme="1"/>
        <rFont val="Calibri"/>
        <family val="2"/>
      </rPr>
      <t>e/año</t>
    </r>
  </si>
  <si>
    <t>LB</t>
  </si>
  <si>
    <t>Op 1</t>
  </si>
  <si>
    <t>Op 2</t>
  </si>
  <si>
    <t>Op 3</t>
  </si>
  <si>
    <t>Op 4</t>
  </si>
  <si>
    <t>Gastos</t>
  </si>
  <si>
    <t>Ingresos</t>
  </si>
  <si>
    <t>Utilidad</t>
  </si>
  <si>
    <r>
      <rPr>
        <sz val="11"/>
        <color theme="1"/>
        <rFont val="Symbol"/>
        <family val="1"/>
        <charset val="2"/>
      </rPr>
      <t>D</t>
    </r>
    <r>
      <rPr>
        <sz val="11"/>
        <color theme="1"/>
        <rFont val="Calibri"/>
        <family val="2"/>
        <scheme val="minor"/>
      </rPr>
      <t>E</t>
    </r>
  </si>
  <si>
    <r>
      <rPr>
        <sz val="11"/>
        <color theme="1"/>
        <rFont val="Symbol"/>
        <family val="1"/>
        <charset val="2"/>
      </rPr>
      <t>D</t>
    </r>
    <r>
      <rPr>
        <sz val="11"/>
        <color theme="1"/>
        <rFont val="Calibri"/>
        <family val="2"/>
        <scheme val="minor"/>
      </rPr>
      <t>E</t>
    </r>
    <r>
      <rPr>
        <sz val="11"/>
        <color theme="1"/>
        <rFont val="Calibri"/>
        <family val="1"/>
        <charset val="2"/>
        <scheme val="minor"/>
      </rPr>
      <t>/Gastos</t>
    </r>
  </si>
  <si>
    <t>G/I</t>
  </si>
  <si>
    <r>
      <rPr>
        <sz val="11"/>
        <color theme="1"/>
        <rFont val="Symbol"/>
        <family val="1"/>
        <charset val="2"/>
      </rPr>
      <t>D</t>
    </r>
    <r>
      <rPr>
        <sz val="11"/>
        <color theme="1"/>
        <rFont val="Calibri"/>
        <family val="2"/>
        <scheme val="minor"/>
      </rPr>
      <t>E</t>
    </r>
    <r>
      <rPr>
        <sz val="11"/>
        <color theme="1"/>
        <rFont val="Calibri"/>
        <family val="1"/>
        <charset val="2"/>
        <scheme val="minor"/>
      </rPr>
      <t>/(G/I)</t>
    </r>
  </si>
  <si>
    <t>Op 5</t>
  </si>
  <si>
    <t>Op 6</t>
  </si>
  <si>
    <t>De 1999 a 2012 el área de agostadero en Chihuahua no ha variado</t>
  </si>
  <si>
    <t>Rendimiento</t>
  </si>
  <si>
    <t>kg carne/UA</t>
  </si>
  <si>
    <t>UA</t>
  </si>
  <si>
    <t>Ref</t>
  </si>
  <si>
    <t>Servicio de Información Agroalimentaria y Pesquera (SIAP). Bovino para carne Población ganadera 2010-2019 Cabezas. Inventario 2019 bovino para carne. Descargado el 13/9/2020 de https://www.gob.mx/siap/documentos/poblacion-ganadera-136762?idiom=es.</t>
  </si>
  <si>
    <t>C:\Users\Luisa\Desktop\AKR\PECC Copy\00 Comentarios 20200623\01 Potencial de mitigacion\Ganadería\Inventario_2019_bovino_para_carne.pdf</t>
  </si>
  <si>
    <t xml:space="preserve">Carga animal </t>
  </si>
  <si>
    <t>ha/vientre</t>
  </si>
  <si>
    <t>CHBC20</t>
  </si>
  <si>
    <t>CHBC40</t>
  </si>
  <si>
    <t>CHBC200</t>
  </si>
  <si>
    <t>CHBC500</t>
  </si>
  <si>
    <t>ha/UA</t>
  </si>
  <si>
    <t>Coeficiente de agostadero</t>
  </si>
  <si>
    <t>kg/UA año</t>
  </si>
  <si>
    <t>Lecheras</t>
  </si>
  <si>
    <t>kgCH4/cabeza/año</t>
  </si>
  <si>
    <t>cabezas</t>
  </si>
  <si>
    <t>GgCH4/año</t>
  </si>
  <si>
    <t>GWP</t>
  </si>
  <si>
    <t>GgCO2e/año</t>
  </si>
  <si>
    <t>kg/t(carne) año</t>
  </si>
  <si>
    <t>Gg CO2e</t>
  </si>
  <si>
    <t>GE</t>
  </si>
  <si>
    <t>FE</t>
  </si>
  <si>
    <t>Número de cabezas para carne</t>
  </si>
  <si>
    <t>Número de cabezas para leche</t>
  </si>
  <si>
    <t>SIAP</t>
  </si>
  <si>
    <t>Gg CO2e/cabeza</t>
  </si>
  <si>
    <r>
      <t>Factor de emisión de CO</t>
    </r>
    <r>
      <rPr>
        <vertAlign val="subscript"/>
        <sz val="11"/>
        <color theme="1"/>
        <rFont val="Calibri"/>
        <family val="2"/>
        <scheme val="minor"/>
      </rPr>
      <t>2</t>
    </r>
    <r>
      <rPr>
        <sz val="11"/>
        <color theme="1"/>
        <rFont val="Calibri"/>
        <family val="2"/>
        <scheme val="minor"/>
      </rPr>
      <t>e Ferm Ent</t>
    </r>
  </si>
  <si>
    <r>
      <t>Factor de emisión de CO</t>
    </r>
    <r>
      <rPr>
        <vertAlign val="subscript"/>
        <sz val="11"/>
        <color theme="1"/>
        <rFont val="Calibri"/>
        <family val="2"/>
        <scheme val="minor"/>
      </rPr>
      <t>2</t>
    </r>
    <r>
      <rPr>
        <sz val="11"/>
        <color theme="1"/>
        <rFont val="Calibri"/>
        <family val="2"/>
        <scheme val="minor"/>
      </rPr>
      <t>e Gestión de Est</t>
    </r>
  </si>
  <si>
    <t>[6]</t>
  </si>
  <si>
    <t>PECC Chih</t>
  </si>
  <si>
    <t>Número de cabezas total</t>
  </si>
  <si>
    <r>
      <t>Emisión de CO</t>
    </r>
    <r>
      <rPr>
        <vertAlign val="subscript"/>
        <sz val="11"/>
        <color theme="1"/>
        <rFont val="Calibri"/>
        <family val="2"/>
        <scheme val="minor"/>
      </rPr>
      <t>2</t>
    </r>
    <r>
      <rPr>
        <sz val="11"/>
        <color theme="1"/>
        <rFont val="Calibri"/>
        <family val="2"/>
        <scheme val="minor"/>
      </rPr>
      <t>e Ferm Ent</t>
    </r>
  </si>
  <si>
    <r>
      <t>Emisión de CO</t>
    </r>
    <r>
      <rPr>
        <vertAlign val="subscript"/>
        <sz val="11"/>
        <color theme="1"/>
        <rFont val="Calibri"/>
        <family val="2"/>
        <scheme val="minor"/>
      </rPr>
      <t>2</t>
    </r>
    <r>
      <rPr>
        <sz val="11"/>
        <color theme="1"/>
        <rFont val="Calibri"/>
        <family val="2"/>
        <scheme val="minor"/>
      </rPr>
      <t>e Gestión de Est</t>
    </r>
  </si>
  <si>
    <r>
      <t>Emisión total de CO</t>
    </r>
    <r>
      <rPr>
        <vertAlign val="subscript"/>
        <sz val="11"/>
        <color theme="1"/>
        <rFont val="Calibri"/>
        <family val="2"/>
        <scheme val="minor"/>
      </rPr>
      <t>2</t>
    </r>
    <r>
      <rPr>
        <sz val="11"/>
        <color theme="1"/>
        <rFont val="Calibri"/>
        <family val="2"/>
        <scheme val="minor"/>
      </rPr>
      <t>e</t>
    </r>
  </si>
  <si>
    <r>
      <t>GgCO</t>
    </r>
    <r>
      <rPr>
        <vertAlign val="subscript"/>
        <sz val="11"/>
        <color theme="1"/>
        <rFont val="Calibri"/>
        <family val="2"/>
        <scheme val="minor"/>
      </rPr>
      <t>2</t>
    </r>
    <r>
      <rPr>
        <sz val="11"/>
        <color theme="1"/>
        <rFont val="Calibri"/>
        <family val="2"/>
        <scheme val="minor"/>
      </rPr>
      <t>e</t>
    </r>
  </si>
  <si>
    <t>Número de cabezas de animal</t>
  </si>
  <si>
    <t>1999-2012</t>
  </si>
  <si>
    <r>
      <t>CO</t>
    </r>
    <r>
      <rPr>
        <vertAlign val="subscript"/>
        <sz val="11"/>
        <color theme="1"/>
        <rFont val="Calibri"/>
        <family val="2"/>
        <scheme val="minor"/>
      </rPr>
      <t>2</t>
    </r>
    <r>
      <rPr>
        <sz val="11"/>
        <color theme="1"/>
        <rFont val="Calibri"/>
        <family val="2"/>
        <scheme val="minor"/>
      </rPr>
      <t xml:space="preserve"> reducido</t>
    </r>
  </si>
  <si>
    <t>Potencial</t>
  </si>
  <si>
    <t>USD</t>
  </si>
  <si>
    <t>Costo de la medida</t>
  </si>
  <si>
    <t>Emisiones CO2e</t>
  </si>
  <si>
    <t>SPPi</t>
  </si>
  <si>
    <t>Escenario base</t>
  </si>
  <si>
    <t>De 1999 a 2012 el área de agostadero en Chihuahua no ha variado. Informe se la Situación del Medio Ambiente en México. Compendio de Estadísticas Ambientales, Indicadores Clave de Desempeño Ambiental y de Crecimiento Verde, 2018. SEMARNAT.</t>
  </si>
  <si>
    <t>Servicio de Información Agroalimentaria y Pesquera (SIAP). Bovino para carne Población ganadera 2010-2019 Cabezas. Inventario 2019 bovino para carne. Descargado el 13/9/2020 de https://www.gob.mx/siap/documentos/poblacion-ganadera-136762?idiom=es. Descargado el 13/9/2020 de https://apps1.semarnat.gob.mx:8443/dgeia/informe18/index.html.</t>
  </si>
  <si>
    <t>yr</t>
  </si>
  <si>
    <t>mth</t>
  </si>
  <si>
    <t>contract term</t>
  </si>
  <si>
    <t>construction</t>
  </si>
  <si>
    <t>USD/kWh</t>
  </si>
  <si>
    <t>USD/kWPeak</t>
  </si>
  <si>
    <t>sub-station</t>
  </si>
  <si>
    <t>power plant</t>
  </si>
  <si>
    <t>USD/year</t>
  </si>
  <si>
    <t>%/year</t>
  </si>
  <si>
    <t>expected interest rate</t>
  </si>
  <si>
    <t>interest with green tech fund rebate</t>
  </si>
  <si>
    <t>interest without rebate</t>
  </si>
  <si>
    <t>Repayments per year</t>
  </si>
  <si>
    <t>As of December 2014</t>
  </si>
  <si>
    <t>MWPeak</t>
  </si>
  <si>
    <t>Milestones</t>
  </si>
  <si>
    <t>Power output</t>
  </si>
  <si>
    <t>Generation</t>
  </si>
  <si>
    <t>Feed-in share</t>
  </si>
  <si>
    <t>CAPEX</t>
  </si>
  <si>
    <t>Fix OPEX</t>
  </si>
  <si>
    <t>Replacement cost</t>
  </si>
  <si>
    <t>Price increases</t>
  </si>
  <si>
    <t>Subsidies</t>
  </si>
  <si>
    <t>Equity share</t>
  </si>
  <si>
    <t>Financing</t>
  </si>
  <si>
    <t>Debt capital</t>
  </si>
  <si>
    <t>Feed-in tariff</t>
  </si>
  <si>
    <t>Revenues and project cycle cost</t>
  </si>
  <si>
    <t>Technical data</t>
  </si>
  <si>
    <t>Project name and schedule</t>
  </si>
  <si>
    <t>To be discussed and updated</t>
  </si>
  <si>
    <t>Electricity</t>
  </si>
  <si>
    <t>Other</t>
  </si>
  <si>
    <t>none</t>
  </si>
  <si>
    <t>alternative 1 equity share</t>
  </si>
  <si>
    <t>alternative 2 equity share</t>
  </si>
  <si>
    <t>se considera el costo del terreno, del SFV y se aumenta un 5% adicional por gastos adicionales a cuenta del cliente</t>
  </si>
  <si>
    <t>incentivo ISR</t>
  </si>
  <si>
    <t>Sistema Silvo-Pastoril Intensivo</t>
  </si>
  <si>
    <t>Start date</t>
  </si>
  <si>
    <t>Número de cabezas</t>
  </si>
  <si>
    <t>C:\Users\Luisa\Desktop\AKR\PECC Copy\00 Comentarios 20200623\01 Potencial de mitigacion\Ganadería\Michoacan.pdf</t>
  </si>
  <si>
    <t>Avances en InvestIgAcIón AgropecuArIA Costos y beneficios de un sistema silvopastoril… González. AIA. 2013. 17(3): 35-50 Revista de investigación y difusión científica agropecuaria</t>
  </si>
  <si>
    <t>Línea Base</t>
  </si>
  <si>
    <t>Superficie de riego por gravedad (ha)</t>
  </si>
  <si>
    <t>Superficie con construcciones, instalaciones y áreas de manejo (ha)</t>
  </si>
  <si>
    <t>Valor de las tierras en pesos ($)</t>
  </si>
  <si>
    <t>Construcciones e instalaciones ($)</t>
  </si>
  <si>
    <t>Maquinaria y equipo ($)</t>
  </si>
  <si>
    <t>Pie de cría ($)</t>
  </si>
  <si>
    <t>Plantación y mantenimiento del pasto en 21ha durante el primer año ($)</t>
  </si>
  <si>
    <t>Plantación y mantenimiento del SSPi en 53 ha ($) durante el primer año</t>
  </si>
  <si>
    <t>Linea Base</t>
  </si>
  <si>
    <t>Para ranchos nuevos</t>
  </si>
  <si>
    <t>Conversión de Ranchos a SSPi</t>
  </si>
  <si>
    <t>Capacidad de carga promedio en UA por ha</t>
  </si>
  <si>
    <t>UA totales</t>
  </si>
  <si>
    <t>(kg carne/cabeza)/año</t>
  </si>
  <si>
    <t>Ventas</t>
  </si>
  <si>
    <r>
      <t>Emisiones de ganadería (Gg CO</t>
    </r>
    <r>
      <rPr>
        <b/>
        <vertAlign val="subscript"/>
        <sz val="10"/>
        <color theme="1"/>
        <rFont val="Calibri"/>
        <family val="2"/>
        <scheme val="minor"/>
      </rPr>
      <t>2</t>
    </r>
    <r>
      <rPr>
        <b/>
        <sz val="10"/>
        <color theme="1"/>
        <rFont val="Calibri"/>
        <family val="2"/>
        <scheme val="minor"/>
      </rPr>
      <t>e)</t>
    </r>
  </si>
  <si>
    <r>
      <t>y</t>
    </r>
    <r>
      <rPr>
        <i/>
        <vertAlign val="subscript"/>
        <sz val="11"/>
        <color theme="1"/>
        <rFont val="Times New Roman"/>
        <family val="1"/>
      </rPr>
      <t>i</t>
    </r>
    <r>
      <rPr>
        <i/>
        <sz val="11"/>
        <color theme="1"/>
        <rFont val="Times New Roman"/>
        <family val="1"/>
      </rPr>
      <t>=</t>
    </r>
  </si>
  <si>
    <t>Factor global de emsiones [1]</t>
  </si>
  <si>
    <r>
      <t>p</t>
    </r>
    <r>
      <rPr>
        <i/>
        <vertAlign val="subscript"/>
        <sz val="11"/>
        <color theme="1"/>
        <rFont val="Times New Roman"/>
        <family val="1"/>
      </rPr>
      <t>i</t>
    </r>
    <r>
      <rPr>
        <i/>
        <sz val="11"/>
        <color theme="1"/>
        <rFont val="Times New Roman"/>
        <family val="1"/>
      </rPr>
      <t>=</t>
    </r>
  </si>
  <si>
    <t>Fuente: Z2:AC30 hoja: "Analisis y proyección" Libro: "ChihuahuaInVF.xlsx" Ruta: G:\PROJECTS\PECC Chih</t>
  </si>
  <si>
    <t>[1] Ver Figura 4</t>
  </si>
  <si>
    <t>[1] Fuente original: B2:I44 hoja: "Analisis y proyección" Libro: "ChihuahuaInVF.xlsx" Ruta: G:\PROJECTS\PECC Chih</t>
  </si>
  <si>
    <t>Esta hoja originalmente viene de:</t>
  </si>
  <si>
    <t>C:\Users\Luisa\Desktop\AKR\PECC Copy\00 Comentarios 20200623\00 Comparacion PRODESEN 2019 vs 2020\02 Linea base para escenarios 3 2020.xlsx</t>
  </si>
  <si>
    <t>Escenario conservador</t>
  </si>
  <si>
    <t>Escenario medio</t>
  </si>
  <si>
    <t>Escenario ambicioso</t>
  </si>
  <si>
    <t>Potencial de mitigación</t>
  </si>
  <si>
    <t>Conservador</t>
  </si>
  <si>
    <t>Medio</t>
  </si>
  <si>
    <t>Ambicioso</t>
  </si>
  <si>
    <r>
      <t>Gg CO</t>
    </r>
    <r>
      <rPr>
        <vertAlign val="subscript"/>
        <sz val="9"/>
        <color theme="1"/>
        <rFont val="Calibri"/>
        <family val="2"/>
        <scheme val="minor"/>
      </rPr>
      <t>2</t>
    </r>
    <r>
      <rPr>
        <sz val="9"/>
        <color theme="1"/>
        <rFont val="Calibri"/>
        <family val="2"/>
        <scheme val="minor"/>
      </rPr>
      <t>e/año</t>
    </r>
  </si>
  <si>
    <t>Valores como texto</t>
  </si>
  <si>
    <t>Balance neto de GEI</t>
  </si>
  <si>
    <t>Porcentaje de adopción</t>
  </si>
  <si>
    <t>Producción específica</t>
  </si>
  <si>
    <t>t/ha</t>
  </si>
  <si>
    <t>Unidades animal</t>
  </si>
  <si>
    <t>Superficie de riego</t>
  </si>
  <si>
    <t>Carga animal</t>
  </si>
  <si>
    <t>Cabezas/UA</t>
  </si>
  <si>
    <t>Mejorado sin árboles</t>
  </si>
  <si>
    <r>
      <t>GCO</t>
    </r>
    <r>
      <rPr>
        <vertAlign val="subscript"/>
        <sz val="9"/>
        <color theme="1"/>
        <rFont val="Calibri"/>
        <family val="2"/>
        <scheme val="minor"/>
      </rPr>
      <t>2</t>
    </r>
    <r>
      <rPr>
        <sz val="9"/>
        <color theme="1"/>
        <rFont val="Calibri"/>
        <family val="2"/>
        <scheme val="minor"/>
      </rPr>
      <t>e/ha</t>
    </r>
  </si>
  <si>
    <t>3A2a + 3A1a (Bovinos tendencial)</t>
  </si>
  <si>
    <t>Zero emission line</t>
  </si>
  <si>
    <t>Parámetro</t>
  </si>
  <si>
    <t>Unidades</t>
  </si>
  <si>
    <t>ha/UA/año</t>
  </si>
  <si>
    <t>Fuente: C:\Users\Luisa\Desktop\AKR\PECC Copy\00 Comentarios 20200623\01 Potencial de mitigacion\Ganadería\Hoja trabajo datos ganado b.xlsx</t>
  </si>
  <si>
    <t xml:space="preserve">    </t>
  </si>
  <si>
    <r>
      <rPr>
        <sz val="11"/>
        <color theme="1"/>
        <rFont val="Symbol"/>
        <family val="1"/>
        <charset val="2"/>
      </rPr>
      <t>­</t>
    </r>
    <r>
      <rPr>
        <sz val="11"/>
        <color theme="1"/>
        <rFont val="Calibri"/>
        <family val="2"/>
      </rPr>
      <t xml:space="preserve">   </t>
    </r>
    <r>
      <rPr>
        <sz val="11"/>
        <color theme="1"/>
        <rFont val="Calibri"/>
        <family val="2"/>
        <scheme val="minor"/>
      </rPr>
      <t>Fuente: C:\Users\Luisa\Desktop\AKR\PECC Copy\00 Comentarios 20200623\01 Potencial de mitigacion\Ganadería\Cuadros metodología.xlsx</t>
    </r>
  </si>
  <si>
    <r>
      <t>ï</t>
    </r>
    <r>
      <rPr>
        <sz val="11"/>
        <color theme="1"/>
        <rFont val="Calibri"/>
        <family val="2"/>
        <scheme val="minor"/>
      </rPr>
      <t xml:space="preserve">  Fuente: C:\Users\Luisa\Desktop\AKR\PECC Copy\00 Comentarios 20200623\01 Potencial de mitigacion\Ganadería\Hoja trabajo datos ganado b.xlsx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</si>
</sst>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0.0000"/>
    <numFmt numFmtId="165" formatCode="0.000"/>
    <numFmt numFmtId="166" formatCode="#,##0.000"/>
    <numFmt numFmtId="167" formatCode="0.0"/>
    <numFmt numFmtId="168" formatCode="0.00000"/>
    <numFmt numFmtId="169" formatCode="0.000000000"/>
    <numFmt numFmtId="170" formatCode="0.00000000"/>
    <numFmt numFmtId="171" formatCode="0.0000E+00"/>
    <numFmt numFmtId="172" formatCode="0.00000000E+00"/>
    <numFmt numFmtId="173" formatCode="_-* #,##0.00000000_-;\-* #,##0.00000000_-;_-* &quot;-&quot;??_-;_-@_-"/>
    <numFmt numFmtId="174" formatCode="0.000000E+00"/>
    <numFmt numFmtId="175" formatCode="0.000000"/>
    <numFmt numFmtId="176" formatCode="#,##0.0"/>
    <numFmt numFmtId="177" formatCode="0.0%"/>
  </numFmts>
  <fonts count="26">
    <font>
      <sz val="11"/>
      <color theme="1"/>
      <name val="Calibri"/>
      <family val="2"/>
      <scheme val="minor"/>
    </font>
    <font>
      <sz val="11"/>
      <color theme="1"/>
      <name val="Calibri"/>
      <family val="2"/>
      <scheme val="minor"/>
    </font>
    <font>
      <sz val="11"/>
      <color rgb="FF000000"/>
      <name val="Calibri"/>
      <family val="2"/>
      <scheme val="minor"/>
    </font>
    <font>
      <b/>
      <sz val="10"/>
      <color rgb="FFFFFFFF"/>
      <name val="Calibri"/>
      <family val="2"/>
      <scheme val="minor"/>
    </font>
    <font>
      <u/>
      <sz val="11"/>
      <color theme="10"/>
      <name val="Calibri"/>
      <family val="2"/>
      <scheme val="minor"/>
    </font>
    <font>
      <b/>
      <sz val="11"/>
      <color theme="1"/>
      <name val="Calibri"/>
      <family val="2"/>
      <scheme val="minor"/>
    </font>
    <font>
      <vertAlign val="subscript"/>
      <sz val="11"/>
      <color theme="1"/>
      <name val="Calibri"/>
      <family val="2"/>
      <scheme val="minor"/>
    </font>
    <font>
      <sz val="10"/>
      <color theme="1"/>
      <name val="Calibri"/>
      <family val="2"/>
      <scheme val="minor"/>
    </font>
    <font>
      <u/>
      <sz val="11"/>
      <color theme="1"/>
      <name val="Calibri"/>
      <family val="2"/>
      <scheme val="minor"/>
    </font>
    <font>
      <sz val="10"/>
      <name val="Calibri"/>
      <family val="2"/>
      <scheme val="minor"/>
    </font>
    <font>
      <sz val="9"/>
      <color theme="1"/>
      <name val="Calibri"/>
      <family val="2"/>
      <scheme val="minor"/>
    </font>
    <font>
      <i/>
      <sz val="11"/>
      <color theme="1"/>
      <name val="Times New Roman"/>
      <family val="1"/>
    </font>
    <font>
      <sz val="9"/>
      <name val="Calibri"/>
      <family val="2"/>
      <scheme val="minor"/>
    </font>
    <font>
      <sz val="9"/>
      <color theme="4"/>
      <name val="Calibri"/>
      <family val="2"/>
      <scheme val="minor"/>
    </font>
    <font>
      <sz val="11"/>
      <color rgb="FFFF0000"/>
      <name val="Calibri"/>
      <family val="2"/>
      <scheme val="minor"/>
    </font>
    <font>
      <vertAlign val="subscript"/>
      <sz val="9"/>
      <color theme="1"/>
      <name val="Calibri"/>
      <family val="2"/>
      <scheme val="minor"/>
    </font>
    <font>
      <sz val="9"/>
      <color rgb="FF242021"/>
      <name val="CheltenhamBT-Roman"/>
    </font>
    <font>
      <sz val="11"/>
      <color theme="1"/>
      <name val="Calibri"/>
      <family val="2"/>
    </font>
    <font>
      <vertAlign val="subscript"/>
      <sz val="11"/>
      <color theme="1"/>
      <name val="Calibri"/>
      <family val="2"/>
    </font>
    <font>
      <sz val="11"/>
      <color theme="1"/>
      <name val="Symbol"/>
      <family val="1"/>
      <charset val="2"/>
    </font>
    <font>
      <sz val="11"/>
      <color theme="1"/>
      <name val="Calibri"/>
      <family val="1"/>
      <charset val="2"/>
      <scheme val="minor"/>
    </font>
    <font>
      <b/>
      <sz val="10"/>
      <color theme="1"/>
      <name val="Calibri"/>
      <family val="2"/>
      <scheme val="minor"/>
    </font>
    <font>
      <sz val="11"/>
      <name val="Calibri"/>
      <family val="2"/>
      <scheme val="minor"/>
    </font>
    <font>
      <b/>
      <vertAlign val="subscript"/>
      <sz val="10"/>
      <color theme="1"/>
      <name val="Calibri"/>
      <family val="2"/>
      <scheme val="minor"/>
    </font>
    <font>
      <i/>
      <vertAlign val="subscript"/>
      <sz val="11"/>
      <color theme="1"/>
      <name val="Times New Roman"/>
      <family val="1"/>
    </font>
    <font>
      <sz val="11"/>
      <color theme="1"/>
      <name val="Wingdings"/>
      <charset val="2"/>
    </font>
  </fonts>
  <fills count="20">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4" tint="0.39997558519241921"/>
        <bgColor indexed="64"/>
      </patternFill>
    </fill>
    <fill>
      <patternFill patternType="solid">
        <fgColor rgb="FF999999"/>
        <bgColor indexed="64"/>
      </patternFill>
    </fill>
    <fill>
      <patternFill patternType="solid">
        <fgColor rgb="FFB4C6E7"/>
        <bgColor rgb="FF000000"/>
      </patternFill>
    </fill>
    <fill>
      <patternFill patternType="solid">
        <fgColor rgb="FFA9D08E"/>
        <bgColor rgb="FF000000"/>
      </patternFill>
    </fill>
    <fill>
      <patternFill patternType="solid">
        <fgColor rgb="FFC65911"/>
        <bgColor rgb="FF000000"/>
      </patternFill>
    </fill>
    <fill>
      <patternFill patternType="solid">
        <fgColor rgb="FF8EA9DB"/>
        <bgColor rgb="FF000000"/>
      </patternFill>
    </fill>
    <fill>
      <patternFill patternType="solid">
        <fgColor rgb="FFFFE699"/>
        <bgColor rgb="FF000000"/>
      </patternFill>
    </fill>
    <fill>
      <patternFill patternType="solid">
        <fgColor rgb="FF999999"/>
        <bgColor rgb="FF000000"/>
      </patternFill>
    </fill>
    <fill>
      <patternFill patternType="solid">
        <fgColor theme="0"/>
        <bgColor indexed="64"/>
      </patternFill>
    </fill>
    <fill>
      <patternFill patternType="solid">
        <fgColor theme="4" tint="0.79998168889431442"/>
        <bgColor indexed="65"/>
      </patternFill>
    </fill>
    <fill>
      <patternFill patternType="solid">
        <fgColor rgb="FF66FF33"/>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79998168889431442"/>
        <bgColor indexed="64"/>
      </patternFill>
    </fill>
  </fills>
  <borders count="7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thin">
        <color auto="1"/>
      </left>
      <right/>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bottom/>
      <diagonal/>
    </border>
    <border>
      <left style="medium">
        <color auto="1"/>
      </left>
      <right/>
      <top/>
      <bottom style="medium">
        <color auto="1"/>
      </bottom>
      <diagonal/>
    </border>
    <border>
      <left style="medium">
        <color auto="1"/>
      </left>
      <right/>
      <top/>
      <bottom/>
      <diagonal/>
    </border>
    <border>
      <left style="thin">
        <color rgb="FF000000"/>
      </left>
      <right style="thin">
        <color rgb="FF000000"/>
      </right>
      <top style="thin">
        <color rgb="FF000000"/>
      </top>
      <bottom style="thin">
        <color rgb="FF000000"/>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double">
        <color rgb="FF00B050"/>
      </left>
      <right/>
      <top/>
      <bottom/>
      <diagonal/>
    </border>
    <border>
      <left/>
      <right style="double">
        <color rgb="FF00B050"/>
      </right>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thick">
        <color theme="9" tint="-0.24994659260841701"/>
      </left>
      <right/>
      <top style="thick">
        <color theme="9" tint="-0.24994659260841701"/>
      </top>
      <bottom/>
      <diagonal/>
    </border>
    <border>
      <left/>
      <right/>
      <top style="thick">
        <color theme="9" tint="-0.24994659260841701"/>
      </top>
      <bottom/>
      <diagonal/>
    </border>
    <border>
      <left/>
      <right style="thick">
        <color theme="9" tint="-0.24994659260841701"/>
      </right>
      <top style="thick">
        <color theme="9" tint="-0.24994659260841701"/>
      </top>
      <bottom/>
      <diagonal/>
    </border>
    <border>
      <left style="thick">
        <color theme="9" tint="-0.24994659260841701"/>
      </left>
      <right/>
      <top/>
      <bottom/>
      <diagonal/>
    </border>
    <border>
      <left/>
      <right style="thick">
        <color theme="9" tint="-0.24994659260841701"/>
      </right>
      <top/>
      <bottom/>
      <diagonal/>
    </border>
    <border>
      <left style="thick">
        <color theme="9" tint="-0.24994659260841701"/>
      </left>
      <right/>
      <top/>
      <bottom style="thick">
        <color theme="9" tint="-0.24994659260841701"/>
      </bottom>
      <diagonal/>
    </border>
    <border>
      <left/>
      <right/>
      <top/>
      <bottom style="thick">
        <color theme="9" tint="-0.24994659260841701"/>
      </bottom>
      <diagonal/>
    </border>
    <border>
      <left/>
      <right style="thick">
        <color theme="9" tint="-0.24994659260841701"/>
      </right>
      <top/>
      <bottom style="thick">
        <color theme="9" tint="-0.2499465926084170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double">
        <color auto="1"/>
      </right>
      <top/>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15" borderId="0" applyNumberFormat="0" applyBorder="0" applyAlignment="0" applyProtection="0"/>
  </cellStyleXfs>
  <cellXfs count="346">
    <xf numFmtId="0" fontId="0" fillId="0" borderId="0" xfId="0"/>
    <xf numFmtId="3" fontId="0" fillId="0" borderId="0" xfId="0" applyNumberFormat="1"/>
    <xf numFmtId="3" fontId="0" fillId="0" borderId="0" xfId="0" applyNumberFormat="1" applyAlignment="1">
      <alignment vertical="center" wrapText="1"/>
    </xf>
    <xf numFmtId="0" fontId="0" fillId="0" borderId="0" xfId="0" applyAlignment="1">
      <alignment vertical="center" wrapText="1"/>
    </xf>
    <xf numFmtId="4" fontId="0" fillId="0" borderId="0" xfId="0" applyNumberFormat="1" applyAlignment="1">
      <alignment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 xfId="0" applyFill="1" applyBorder="1"/>
    <xf numFmtId="0" fontId="0" fillId="0" borderId="2" xfId="0" applyFill="1" applyBorder="1"/>
    <xf numFmtId="0" fontId="0" fillId="0" borderId="5" xfId="0" applyFill="1" applyBorder="1"/>
    <xf numFmtId="0" fontId="0" fillId="0" borderId="10" xfId="0" applyFill="1" applyBorder="1"/>
    <xf numFmtId="0" fontId="0" fillId="0" borderId="10" xfId="0" applyBorder="1"/>
    <xf numFmtId="0" fontId="0" fillId="0" borderId="1" xfId="0" applyBorder="1" applyAlignment="1">
      <alignment horizontal="center" wrapText="1"/>
    </xf>
    <xf numFmtId="0" fontId="0" fillId="0" borderId="2" xfId="0" applyBorder="1" applyAlignment="1">
      <alignment wrapText="1"/>
    </xf>
    <xf numFmtId="0" fontId="0" fillId="0" borderId="4" xfId="0" applyBorder="1" applyAlignment="1">
      <alignment wrapText="1"/>
    </xf>
    <xf numFmtId="0" fontId="0" fillId="0" borderId="11" xfId="0" applyBorder="1" applyAlignment="1">
      <alignment wrapText="1"/>
    </xf>
    <xf numFmtId="0" fontId="0" fillId="0" borderId="12" xfId="0" applyBorder="1"/>
    <xf numFmtId="0" fontId="0" fillId="0" borderId="7" xfId="0" applyBorder="1" applyAlignment="1">
      <alignment wrapText="1"/>
    </xf>
    <xf numFmtId="0" fontId="0" fillId="0" borderId="17" xfId="0" applyFill="1" applyBorder="1" applyAlignment="1">
      <alignment wrapText="1"/>
    </xf>
    <xf numFmtId="0" fontId="0" fillId="0" borderId="18" xfId="0" applyFill="1" applyBorder="1" applyAlignment="1">
      <alignment wrapText="1"/>
    </xf>
    <xf numFmtId="0" fontId="0" fillId="0" borderId="19" xfId="0" applyBorder="1"/>
    <xf numFmtId="0" fontId="0" fillId="0" borderId="19" xfId="0" applyFill="1" applyBorder="1"/>
    <xf numFmtId="0" fontId="0" fillId="0" borderId="17" xfId="0" applyFill="1" applyBorder="1"/>
    <xf numFmtId="0" fontId="0" fillId="0" borderId="5" xfId="0" applyBorder="1" applyAlignment="1">
      <alignment wrapText="1"/>
    </xf>
    <xf numFmtId="0" fontId="0" fillId="0" borderId="21" xfId="0" applyFill="1" applyBorder="1" applyAlignment="1">
      <alignment wrapText="1"/>
    </xf>
    <xf numFmtId="0" fontId="0" fillId="0" borderId="22" xfId="0" applyBorder="1"/>
    <xf numFmtId="0" fontId="0" fillId="0" borderId="4" xfId="0" applyFill="1" applyBorder="1"/>
    <xf numFmtId="0" fontId="0" fillId="0" borderId="22" xfId="0" applyFill="1" applyBorder="1"/>
    <xf numFmtId="0" fontId="0" fillId="0" borderId="20" xfId="0" applyFill="1" applyBorder="1"/>
    <xf numFmtId="0" fontId="0" fillId="0" borderId="10" xfId="0" applyBorder="1" applyAlignment="1">
      <alignment wrapText="1"/>
    </xf>
    <xf numFmtId="0" fontId="0" fillId="0" borderId="24" xfId="0" applyFill="1" applyBorder="1" applyAlignment="1">
      <alignment wrapText="1"/>
    </xf>
    <xf numFmtId="0" fontId="0" fillId="0" borderId="11" xfId="0" applyBorder="1"/>
    <xf numFmtId="0" fontId="0" fillId="0" borderId="25" xfId="0" applyBorder="1"/>
    <xf numFmtId="0" fontId="0" fillId="0" borderId="11" xfId="0" applyFill="1" applyBorder="1"/>
    <xf numFmtId="0" fontId="0" fillId="0" borderId="25" xfId="0" applyFill="1" applyBorder="1"/>
    <xf numFmtId="0" fontId="0" fillId="0" borderId="23" xfId="0" applyFill="1" applyBorder="1"/>
    <xf numFmtId="0" fontId="0" fillId="0" borderId="27" xfId="0" applyFill="1" applyBorder="1" applyAlignment="1">
      <alignment wrapText="1"/>
    </xf>
    <xf numFmtId="0" fontId="0" fillId="0" borderId="28" xfId="0" applyBorder="1"/>
    <xf numFmtId="0" fontId="0" fillId="0" borderId="7" xfId="0" applyFill="1" applyBorder="1"/>
    <xf numFmtId="0" fontId="0" fillId="0" borderId="28" xfId="0" applyFill="1" applyBorder="1"/>
    <xf numFmtId="0" fontId="0" fillId="0" borderId="26" xfId="0" applyFill="1" applyBorder="1"/>
    <xf numFmtId="0" fontId="0" fillId="0" borderId="8" xfId="0" applyBorder="1" applyAlignment="1">
      <alignment wrapText="1"/>
    </xf>
    <xf numFmtId="0" fontId="0" fillId="0" borderId="0" xfId="0" applyBorder="1" applyAlignment="1">
      <alignment wrapText="1"/>
    </xf>
    <xf numFmtId="0" fontId="0" fillId="0" borderId="0" xfId="0" applyBorder="1"/>
    <xf numFmtId="0" fontId="0" fillId="0" borderId="1" xfId="0" applyFill="1" applyBorder="1" applyAlignment="1">
      <alignment wrapText="1"/>
    </xf>
    <xf numFmtId="0" fontId="0" fillId="0" borderId="2" xfId="0" applyFill="1" applyBorder="1" applyAlignment="1">
      <alignment wrapText="1"/>
    </xf>
    <xf numFmtId="0" fontId="0" fillId="0" borderId="19" xfId="0" applyBorder="1" applyAlignment="1">
      <alignment wrapText="1"/>
    </xf>
    <xf numFmtId="0" fontId="0" fillId="0" borderId="1" xfId="0" applyBorder="1" applyAlignment="1">
      <alignment wrapText="1"/>
    </xf>
    <xf numFmtId="0" fontId="0" fillId="0" borderId="3" xfId="0" applyBorder="1" applyAlignment="1">
      <alignment wrapText="1"/>
    </xf>
    <xf numFmtId="0" fontId="0" fillId="0" borderId="29" xfId="0" applyBorder="1" applyAlignment="1">
      <alignment wrapText="1"/>
    </xf>
    <xf numFmtId="0" fontId="0" fillId="0" borderId="0" xfId="0" applyAlignment="1">
      <alignment wrapText="1"/>
    </xf>
    <xf numFmtId="0" fontId="0" fillId="0" borderId="4" xfId="0" applyFill="1" applyBorder="1" applyAlignment="1">
      <alignment wrapText="1"/>
    </xf>
    <xf numFmtId="0" fontId="0" fillId="0" borderId="30" xfId="0" applyBorder="1"/>
    <xf numFmtId="0" fontId="0" fillId="0" borderId="11" xfId="0" applyFill="1" applyBorder="1" applyAlignment="1">
      <alignment wrapText="1"/>
    </xf>
    <xf numFmtId="0" fontId="0" fillId="0" borderId="31" xfId="0" applyBorder="1"/>
    <xf numFmtId="0" fontId="0" fillId="0" borderId="7" xfId="0" applyFill="1" applyBorder="1" applyAlignment="1">
      <alignment wrapText="1"/>
    </xf>
    <xf numFmtId="0" fontId="0" fillId="0" borderId="32" xfId="0" applyBorder="1"/>
    <xf numFmtId="0" fontId="0" fillId="0" borderId="0" xfId="0" applyFill="1" applyBorder="1" applyAlignment="1">
      <alignment wrapText="1"/>
    </xf>
    <xf numFmtId="0" fontId="0" fillId="0" borderId="33" xfId="0" applyBorder="1" applyAlignment="1"/>
    <xf numFmtId="0" fontId="0" fillId="0" borderId="34" xfId="0" applyBorder="1" applyAlignment="1"/>
    <xf numFmtId="0" fontId="0" fillId="0" borderId="29" xfId="0" applyFill="1" applyBorder="1" applyAlignment="1">
      <alignment wrapText="1"/>
    </xf>
    <xf numFmtId="0" fontId="0" fillId="0" borderId="30" xfId="0" applyFill="1" applyBorder="1" applyAlignment="1">
      <alignment wrapText="1"/>
    </xf>
    <xf numFmtId="0" fontId="0" fillId="0" borderId="6" xfId="0" applyFill="1" applyBorder="1"/>
    <xf numFmtId="0" fontId="0" fillId="0" borderId="35" xfId="0" applyBorder="1"/>
    <xf numFmtId="0" fontId="0" fillId="0" borderId="36" xfId="0" applyBorder="1"/>
    <xf numFmtId="0" fontId="0" fillId="0" borderId="31" xfId="0" applyFill="1" applyBorder="1" applyAlignment="1">
      <alignment wrapText="1"/>
    </xf>
    <xf numFmtId="0" fontId="0" fillId="0" borderId="12" xfId="0" applyFill="1" applyBorder="1"/>
    <xf numFmtId="0" fontId="2" fillId="0" borderId="10" xfId="0" applyFont="1" applyBorder="1"/>
    <xf numFmtId="0" fontId="0" fillId="0" borderId="32" xfId="0" applyFill="1" applyBorder="1" applyAlignment="1">
      <alignment wrapText="1"/>
    </xf>
    <xf numFmtId="0" fontId="0" fillId="0" borderId="8" xfId="0" applyFill="1" applyBorder="1"/>
    <xf numFmtId="0" fontId="0" fillId="0" borderId="9" xfId="0" applyFill="1" applyBorder="1"/>
    <xf numFmtId="0" fontId="0" fillId="0" borderId="37" xfId="0" applyBorder="1"/>
    <xf numFmtId="0" fontId="0" fillId="0" borderId="38" xfId="0" applyBorder="1"/>
    <xf numFmtId="0" fontId="0" fillId="0" borderId="37" xfId="0" applyFill="1" applyBorder="1" applyAlignment="1">
      <alignment wrapText="1"/>
    </xf>
    <xf numFmtId="0" fontId="0" fillId="0" borderId="39" xfId="0" applyBorder="1"/>
    <xf numFmtId="0" fontId="0" fillId="0" borderId="40" xfId="0" applyFill="1" applyBorder="1" applyAlignment="1">
      <alignment wrapText="1"/>
    </xf>
    <xf numFmtId="0" fontId="0" fillId="0" borderId="5" xfId="0" applyFill="1" applyBorder="1" applyAlignment="1">
      <alignment wrapText="1"/>
    </xf>
    <xf numFmtId="0" fontId="0" fillId="0" borderId="41" xfId="0" applyBorder="1"/>
    <xf numFmtId="0" fontId="0" fillId="0" borderId="42" xfId="0" applyBorder="1"/>
    <xf numFmtId="0" fontId="0" fillId="0" borderId="0" xfId="0" applyAlignment="1">
      <alignment horizontal="center" wrapText="1"/>
    </xf>
    <xf numFmtId="4" fontId="0" fillId="0" borderId="0" xfId="0" applyNumberFormat="1"/>
    <xf numFmtId="4" fontId="0" fillId="0" borderId="0" xfId="1" applyNumberFormat="1" applyFont="1"/>
    <xf numFmtId="0" fontId="0" fillId="2" borderId="0" xfId="0" applyFill="1" applyAlignment="1">
      <alignment wrapText="1"/>
    </xf>
    <xf numFmtId="4" fontId="0" fillId="2" borderId="0" xfId="0" applyNumberFormat="1" applyFill="1"/>
    <xf numFmtId="0" fontId="0" fillId="3" borderId="0" xfId="0" applyFill="1" applyAlignment="1">
      <alignment horizontal="center" wrapText="1"/>
    </xf>
    <xf numFmtId="4" fontId="0" fillId="3" borderId="0" xfId="0" applyNumberFormat="1" applyFill="1"/>
    <xf numFmtId="0" fontId="0" fillId="4" borderId="0" xfId="0" applyFill="1" applyAlignment="1">
      <alignment wrapText="1"/>
    </xf>
    <xf numFmtId="0" fontId="0" fillId="4" borderId="0" xfId="0" applyFill="1"/>
    <xf numFmtId="0" fontId="0" fillId="3" borderId="0" xfId="0" applyFill="1" applyAlignment="1">
      <alignment wrapText="1"/>
    </xf>
    <xf numFmtId="2" fontId="0" fillId="3" borderId="0" xfId="0" applyNumberFormat="1" applyFill="1"/>
    <xf numFmtId="0" fontId="0" fillId="5" borderId="0" xfId="0" applyFill="1" applyAlignment="1">
      <alignment wrapText="1"/>
    </xf>
    <xf numFmtId="166" fontId="0" fillId="5" borderId="0" xfId="0" applyNumberFormat="1" applyFill="1"/>
    <xf numFmtId="0" fontId="0" fillId="2" borderId="0" xfId="0" applyFill="1"/>
    <xf numFmtId="165" fontId="0" fillId="5" borderId="0" xfId="0" applyNumberFormat="1" applyFill="1"/>
    <xf numFmtId="164" fontId="0" fillId="5" borderId="0" xfId="0" applyNumberFormat="1" applyFill="1"/>
    <xf numFmtId="0" fontId="0" fillId="6" borderId="0" xfId="0" applyFill="1" applyAlignment="1">
      <alignment horizontal="center"/>
    </xf>
    <xf numFmtId="0" fontId="0" fillId="6" borderId="0" xfId="0" applyFill="1"/>
    <xf numFmtId="0" fontId="0" fillId="6" borderId="0" xfId="0" applyFill="1" applyAlignment="1">
      <alignment horizontal="center" wrapText="1"/>
    </xf>
    <xf numFmtId="0" fontId="0" fillId="2" borderId="0" xfId="0" applyFill="1" applyAlignment="1">
      <alignment horizontal="center" wrapText="1"/>
    </xf>
    <xf numFmtId="4" fontId="3" fillId="7" borderId="43" xfId="0" applyNumberFormat="1" applyFont="1" applyFill="1" applyBorder="1" applyAlignment="1">
      <alignment horizontal="right" vertical="center" wrapText="1"/>
    </xf>
    <xf numFmtId="0" fontId="3" fillId="7" borderId="43" xfId="0" applyFont="1" applyFill="1" applyBorder="1" applyAlignment="1">
      <alignment horizontal="right" vertical="center" wrapText="1"/>
    </xf>
    <xf numFmtId="0" fontId="3" fillId="7" borderId="0" xfId="0" applyFont="1" applyFill="1" applyBorder="1" applyAlignment="1">
      <alignment horizontal="right" vertical="center" wrapText="1"/>
    </xf>
    <xf numFmtId="167" fontId="0" fillId="0" borderId="0" xfId="0" applyNumberFormat="1"/>
    <xf numFmtId="0" fontId="2" fillId="0" borderId="0" xfId="0" applyFont="1"/>
    <xf numFmtId="0" fontId="2" fillId="8" borderId="0" xfId="0" applyFont="1" applyFill="1" applyAlignment="1">
      <alignment horizontal="center" wrapText="1"/>
    </xf>
    <xf numFmtId="0" fontId="2" fillId="0" borderId="0" xfId="0" applyFont="1" applyAlignment="1">
      <alignment wrapText="1"/>
    </xf>
    <xf numFmtId="0" fontId="2" fillId="9" borderId="0" xfId="0" applyFont="1" applyFill="1" applyAlignment="1">
      <alignment wrapText="1"/>
    </xf>
    <xf numFmtId="0" fontId="2" fillId="10" borderId="0" xfId="0" applyFont="1" applyFill="1" applyAlignment="1">
      <alignment wrapText="1"/>
    </xf>
    <xf numFmtId="0" fontId="2" fillId="0" borderId="0" xfId="0" applyFont="1" applyAlignment="1">
      <alignment horizontal="center" wrapText="1"/>
    </xf>
    <xf numFmtId="0" fontId="2" fillId="11" borderId="0" xfId="0" applyFont="1" applyFill="1" applyAlignment="1">
      <alignment horizontal="center"/>
    </xf>
    <xf numFmtId="0" fontId="2" fillId="11" borderId="0" xfId="0" applyFont="1" applyFill="1" applyAlignment="1">
      <alignment horizontal="center" wrapText="1"/>
    </xf>
    <xf numFmtId="0" fontId="2" fillId="12" borderId="0" xfId="0" applyFont="1" applyFill="1" applyAlignment="1">
      <alignment wrapText="1"/>
    </xf>
    <xf numFmtId="0" fontId="2" fillId="9" borderId="0" xfId="0" applyFont="1" applyFill="1" applyAlignment="1">
      <alignment horizontal="center" wrapText="1"/>
    </xf>
    <xf numFmtId="4" fontId="2" fillId="0" borderId="0" xfId="0" applyNumberFormat="1" applyFont="1"/>
    <xf numFmtId="0" fontId="3" fillId="13" borderId="43" xfId="0" applyFont="1" applyFill="1" applyBorder="1" applyAlignment="1">
      <alignment horizontal="right" vertical="center" wrapText="1"/>
    </xf>
    <xf numFmtId="4" fontId="2" fillId="9" borderId="0" xfId="0" applyNumberFormat="1" applyFont="1" applyFill="1"/>
    <xf numFmtId="166" fontId="2" fillId="10" borderId="0" xfId="0" applyNumberFormat="1" applyFont="1" applyFill="1"/>
    <xf numFmtId="2" fontId="2" fillId="8" borderId="0" xfId="0" applyNumberFormat="1" applyFont="1" applyFill="1"/>
    <xf numFmtId="0" fontId="2" fillId="9" borderId="0" xfId="0" applyFont="1" applyFill="1"/>
    <xf numFmtId="164" fontId="2" fillId="10" borderId="0" xfId="0" applyNumberFormat="1" applyFont="1" applyFill="1"/>
    <xf numFmtId="165" fontId="2" fillId="10" borderId="0" xfId="0" applyNumberFormat="1" applyFont="1" applyFill="1"/>
    <xf numFmtId="0" fontId="2" fillId="11" borderId="0" xfId="0" applyFont="1" applyFill="1"/>
    <xf numFmtId="165" fontId="0" fillId="0" borderId="0" xfId="0" applyNumberFormat="1"/>
    <xf numFmtId="2" fontId="0" fillId="0" borderId="0" xfId="0" applyNumberFormat="1"/>
    <xf numFmtId="0" fontId="0" fillId="0" borderId="0" xfId="0" applyAlignment="1">
      <alignment horizontal="center" vertical="center" wrapText="1"/>
    </xf>
    <xf numFmtId="0" fontId="0" fillId="0" borderId="0" xfId="0" applyFill="1"/>
    <xf numFmtId="0" fontId="0" fillId="0" borderId="0" xfId="0" applyAlignment="1">
      <alignment horizontal="left" indent="1"/>
    </xf>
    <xf numFmtId="164" fontId="0" fillId="0" borderId="0" xfId="0" applyNumberFormat="1"/>
    <xf numFmtId="0" fontId="0" fillId="0" borderId="0" xfId="0" applyAlignment="1">
      <alignment horizontal="center"/>
    </xf>
    <xf numFmtId="168" fontId="0" fillId="5" borderId="0" xfId="0" applyNumberFormat="1" applyFill="1"/>
    <xf numFmtId="164" fontId="0" fillId="0" borderId="0" xfId="0" applyNumberFormat="1" applyFill="1"/>
    <xf numFmtId="165" fontId="0" fillId="0" borderId="0" xfId="0" applyNumberFormat="1" applyFill="1"/>
    <xf numFmtId="10" fontId="0" fillId="0" borderId="0" xfId="1" applyNumberFormat="1" applyFont="1"/>
    <xf numFmtId="3" fontId="0" fillId="0" borderId="0" xfId="0" applyNumberFormat="1" applyBorder="1"/>
    <xf numFmtId="0" fontId="0" fillId="14" borderId="44" xfId="0" applyFill="1" applyBorder="1"/>
    <xf numFmtId="0" fontId="0" fillId="14" borderId="45" xfId="0" applyFill="1" applyBorder="1"/>
    <xf numFmtId="0" fontId="0" fillId="14" borderId="46" xfId="0" applyFill="1" applyBorder="1" applyAlignment="1">
      <alignment wrapText="1"/>
    </xf>
    <xf numFmtId="0" fontId="0" fillId="14" borderId="47" xfId="0" applyFill="1" applyBorder="1"/>
    <xf numFmtId="0" fontId="0" fillId="14" borderId="0" xfId="0" applyFill="1" applyBorder="1"/>
    <xf numFmtId="0" fontId="0" fillId="14" borderId="48" xfId="0" applyFill="1" applyBorder="1"/>
    <xf numFmtId="3" fontId="0" fillId="14" borderId="0" xfId="0" applyNumberFormat="1" applyFill="1" applyBorder="1"/>
    <xf numFmtId="0" fontId="4" fillId="14" borderId="0" xfId="2" applyFill="1" applyBorder="1"/>
    <xf numFmtId="0" fontId="0" fillId="14" borderId="55" xfId="0" applyFill="1" applyBorder="1"/>
    <xf numFmtId="0" fontId="0" fillId="14" borderId="56" xfId="0" applyFill="1" applyBorder="1"/>
    <xf numFmtId="0" fontId="0" fillId="14" borderId="55" xfId="0" applyFill="1" applyBorder="1" applyAlignment="1"/>
    <xf numFmtId="0" fontId="0" fillId="14" borderId="0" xfId="0" applyFill="1" applyBorder="1" applyAlignment="1"/>
    <xf numFmtId="0" fontId="0" fillId="14" borderId="56" xfId="0" applyFill="1" applyBorder="1" applyAlignment="1"/>
    <xf numFmtId="0" fontId="7" fillId="14" borderId="0" xfId="0" applyFont="1" applyFill="1" applyBorder="1" applyAlignment="1">
      <alignment horizontal="left"/>
    </xf>
    <xf numFmtId="0" fontId="0" fillId="14" borderId="0" xfId="0" applyFill="1" applyBorder="1" applyAlignment="1">
      <alignment horizontal="left"/>
    </xf>
    <xf numFmtId="0" fontId="0" fillId="14" borderId="49" xfId="0" applyFill="1" applyBorder="1"/>
    <xf numFmtId="0" fontId="0" fillId="14" borderId="50" xfId="0" applyFill="1" applyBorder="1"/>
    <xf numFmtId="0" fontId="0" fillId="14" borderId="51" xfId="0" applyFill="1" applyBorder="1"/>
    <xf numFmtId="0" fontId="0" fillId="14" borderId="60" xfId="0" applyFill="1" applyBorder="1" applyAlignment="1">
      <alignment horizontal="center"/>
    </xf>
    <xf numFmtId="3" fontId="7" fillId="14" borderId="60" xfId="0" applyNumberFormat="1" applyFont="1" applyFill="1" applyBorder="1"/>
    <xf numFmtId="0" fontId="0" fillId="14" borderId="48" xfId="0" applyFill="1" applyBorder="1" applyAlignment="1">
      <alignment horizontal="center" wrapText="1"/>
    </xf>
    <xf numFmtId="0" fontId="7" fillId="14" borderId="60" xfId="0" applyFont="1" applyFill="1" applyBorder="1"/>
    <xf numFmtId="0" fontId="5" fillId="14" borderId="60" xfId="0" applyFont="1" applyFill="1" applyBorder="1" applyAlignment="1">
      <alignment horizontal="center" vertical="top" wrapText="1"/>
    </xf>
    <xf numFmtId="0" fontId="7" fillId="14" borderId="58" xfId="0" applyFont="1" applyFill="1" applyBorder="1" applyAlignment="1">
      <alignment horizontal="left"/>
    </xf>
    <xf numFmtId="0" fontId="0" fillId="14" borderId="58" xfId="0" applyFill="1" applyBorder="1" applyAlignment="1">
      <alignment horizontal="left"/>
    </xf>
    <xf numFmtId="0" fontId="7" fillId="14" borderId="55" xfId="0" applyFont="1" applyFill="1" applyBorder="1" applyAlignment="1">
      <alignment horizontal="left" indent="3"/>
    </xf>
    <xf numFmtId="0" fontId="7" fillId="14" borderId="57" xfId="0" applyFont="1" applyFill="1" applyBorder="1" applyAlignment="1">
      <alignment horizontal="left" indent="3"/>
    </xf>
    <xf numFmtId="0" fontId="0" fillId="14" borderId="56" xfId="0" applyFill="1" applyBorder="1" applyAlignment="1">
      <alignment horizontal="left"/>
    </xf>
    <xf numFmtId="0" fontId="0" fillId="14" borderId="59" xfId="0" applyFill="1" applyBorder="1" applyAlignment="1">
      <alignment horizontal="left"/>
    </xf>
    <xf numFmtId="169" fontId="10" fillId="14" borderId="0" xfId="0" applyNumberFormat="1" applyFont="1" applyFill="1" applyBorder="1"/>
    <xf numFmtId="0" fontId="12" fillId="14" borderId="0" xfId="0" applyFont="1" applyFill="1" applyBorder="1"/>
    <xf numFmtId="0" fontId="10" fillId="14" borderId="0" xfId="0" applyFont="1" applyFill="1" applyBorder="1"/>
    <xf numFmtId="3" fontId="13" fillId="14" borderId="0" xfId="0" applyNumberFormat="1" applyFont="1" applyFill="1" applyBorder="1"/>
    <xf numFmtId="0" fontId="13" fillId="14" borderId="0" xfId="0" applyFont="1" applyFill="1" applyBorder="1"/>
    <xf numFmtId="3" fontId="10" fillId="14" borderId="0" xfId="0" applyNumberFormat="1" applyFont="1" applyFill="1" applyBorder="1"/>
    <xf numFmtId="171" fontId="0" fillId="0" borderId="0" xfId="0" applyNumberFormat="1"/>
    <xf numFmtId="172" fontId="0" fillId="0" borderId="0" xfId="0" applyNumberFormat="1"/>
    <xf numFmtId="0" fontId="0" fillId="0" borderId="0" xfId="0" applyAlignment="1">
      <alignment vertical="top" wrapText="1"/>
    </xf>
    <xf numFmtId="3" fontId="10" fillId="14" borderId="0" xfId="0" applyNumberFormat="1" applyFont="1" applyFill="1" applyBorder="1" applyAlignment="1">
      <alignment horizontal="right"/>
    </xf>
    <xf numFmtId="0" fontId="10" fillId="14" borderId="0" xfId="0" applyFont="1" applyFill="1" applyBorder="1" applyAlignment="1">
      <alignment horizontal="center"/>
    </xf>
    <xf numFmtId="0" fontId="0" fillId="14" borderId="46" xfId="0" applyFill="1" applyBorder="1"/>
    <xf numFmtId="10" fontId="0" fillId="14" borderId="0" xfId="0" applyNumberFormat="1" applyFill="1" applyBorder="1"/>
    <xf numFmtId="173" fontId="0" fillId="14" borderId="0" xfId="3" applyNumberFormat="1" applyFont="1" applyFill="1" applyBorder="1"/>
    <xf numFmtId="0" fontId="5" fillId="14" borderId="0" xfId="0" applyFont="1" applyFill="1" applyBorder="1"/>
    <xf numFmtId="0" fontId="0" fillId="0" borderId="0" xfId="0" applyAlignment="1">
      <alignment horizontal="right"/>
    </xf>
    <xf numFmtId="3" fontId="0" fillId="0" borderId="61" xfId="0" applyNumberFormat="1" applyBorder="1"/>
    <xf numFmtId="3" fontId="0" fillId="0" borderId="62" xfId="0" applyNumberFormat="1" applyBorder="1"/>
    <xf numFmtId="0" fontId="0" fillId="0" borderId="61" xfId="0" applyBorder="1"/>
    <xf numFmtId="0" fontId="0" fillId="0" borderId="62" xfId="0" applyBorder="1"/>
    <xf numFmtId="0" fontId="0" fillId="0" borderId="66" xfId="0" applyBorder="1"/>
    <xf numFmtId="0" fontId="0" fillId="0" borderId="67" xfId="0" applyBorder="1"/>
    <xf numFmtId="0" fontId="0" fillId="0" borderId="68" xfId="0" applyBorder="1"/>
    <xf numFmtId="10" fontId="0" fillId="0" borderId="61" xfId="1" applyNumberFormat="1" applyFont="1" applyBorder="1"/>
    <xf numFmtId="10" fontId="0" fillId="0" borderId="0" xfId="1" applyNumberFormat="1" applyFont="1" applyBorder="1"/>
    <xf numFmtId="10" fontId="0" fillId="0" borderId="62" xfId="1" applyNumberFormat="1" applyFont="1" applyBorder="1"/>
    <xf numFmtId="0" fontId="0" fillId="0" borderId="61" xfId="0" applyBorder="1" applyAlignment="1">
      <alignment horizontal="center" vertical="top" wrapText="1"/>
    </xf>
    <xf numFmtId="0" fontId="0" fillId="0" borderId="0" xfId="0" applyBorder="1" applyAlignment="1">
      <alignment horizontal="center" vertical="top" wrapText="1"/>
    </xf>
    <xf numFmtId="0" fontId="0" fillId="0" borderId="62" xfId="0" applyBorder="1" applyAlignment="1">
      <alignment vertical="top" wrapText="1"/>
    </xf>
    <xf numFmtId="0" fontId="5" fillId="14" borderId="10" xfId="0" applyFont="1" applyFill="1" applyBorder="1" applyAlignment="1">
      <alignment horizontal="center" vertical="top" wrapText="1"/>
    </xf>
    <xf numFmtId="0" fontId="5" fillId="14" borderId="10" xfId="0" applyFont="1" applyFill="1" applyBorder="1" applyAlignment="1">
      <alignment horizontal="center" vertical="top"/>
    </xf>
    <xf numFmtId="3" fontId="7" fillId="14" borderId="10" xfId="0" applyNumberFormat="1" applyFont="1" applyFill="1" applyBorder="1"/>
    <xf numFmtId="0" fontId="7" fillId="14" borderId="10" xfId="0" applyFont="1" applyFill="1" applyBorder="1"/>
    <xf numFmtId="0" fontId="5" fillId="14" borderId="10" xfId="0" applyFont="1" applyFill="1" applyBorder="1" applyAlignment="1">
      <alignment horizontal="center"/>
    </xf>
    <xf numFmtId="170" fontId="7" fillId="14" borderId="10" xfId="0" applyNumberFormat="1" applyFont="1" applyFill="1" applyBorder="1" applyAlignment="1">
      <alignment horizontal="center"/>
    </xf>
    <xf numFmtId="0" fontId="0" fillId="0" borderId="0" xfId="0" applyAlignment="1"/>
    <xf numFmtId="0" fontId="0" fillId="0" borderId="0" xfId="0" applyBorder="1" applyAlignment="1"/>
    <xf numFmtId="170" fontId="0" fillId="0" borderId="10" xfId="0" applyNumberFormat="1" applyBorder="1" applyAlignment="1">
      <alignment horizontal="center"/>
    </xf>
    <xf numFmtId="0" fontId="7" fillId="0" borderId="0" xfId="0" applyFont="1" applyFill="1" applyBorder="1" applyAlignment="1">
      <alignment horizontal="center"/>
    </xf>
    <xf numFmtId="0" fontId="9" fillId="0" borderId="0" xfId="0" applyFont="1" applyFill="1" applyBorder="1"/>
    <xf numFmtId="0" fontId="14" fillId="0" borderId="0" xfId="0" applyFont="1" applyFill="1"/>
    <xf numFmtId="0" fontId="12" fillId="0" borderId="0" xfId="0" applyFont="1" applyFill="1" applyBorder="1"/>
    <xf numFmtId="174" fontId="0" fillId="0" borderId="0" xfId="1" applyNumberFormat="1" applyFont="1"/>
    <xf numFmtId="3" fontId="10" fillId="0" borderId="0" xfId="0" applyNumberFormat="1" applyFont="1" applyAlignment="1">
      <alignment horizontal="right" indent="3"/>
    </xf>
    <xf numFmtId="0" fontId="10" fillId="0" borderId="0" xfId="0" applyFont="1" applyAlignment="1">
      <alignment horizontal="center" vertical="top" wrapText="1"/>
    </xf>
    <xf numFmtId="0" fontId="10" fillId="0" borderId="0" xfId="0" applyFont="1"/>
    <xf numFmtId="0" fontId="10" fillId="0" borderId="0" xfId="0" applyFont="1" applyAlignment="1">
      <alignment horizontal="center"/>
    </xf>
    <xf numFmtId="44" fontId="0" fillId="0" borderId="0" xfId="4" applyFont="1"/>
    <xf numFmtId="0" fontId="16" fillId="0" borderId="0" xfId="0" applyFont="1"/>
    <xf numFmtId="0" fontId="16" fillId="0" borderId="0" xfId="0" applyFont="1" applyAlignment="1">
      <alignment horizontal="left" vertical="top" wrapText="1"/>
    </xf>
    <xf numFmtId="3" fontId="0" fillId="0" borderId="0" xfId="0" applyNumberFormat="1" applyAlignment="1">
      <alignment vertical="top"/>
    </xf>
    <xf numFmtId="10" fontId="0" fillId="0" borderId="0" xfId="0" applyNumberFormat="1" applyAlignment="1">
      <alignment vertical="top"/>
    </xf>
    <xf numFmtId="0" fontId="0" fillId="0" borderId="0" xfId="0" applyAlignment="1">
      <alignment vertical="top"/>
    </xf>
    <xf numFmtId="0" fontId="16" fillId="0" borderId="0" xfId="0" applyFont="1" applyAlignment="1">
      <alignment horizontal="right" vertical="top" wrapText="1"/>
    </xf>
    <xf numFmtId="0" fontId="0" fillId="0" borderId="0" xfId="0" applyFont="1" applyAlignment="1"/>
    <xf numFmtId="0" fontId="0" fillId="0" borderId="0" xfId="0" applyFont="1"/>
    <xf numFmtId="3" fontId="0" fillId="0" borderId="0" xfId="3" applyNumberFormat="1" applyFont="1"/>
    <xf numFmtId="0" fontId="0" fillId="16" borderId="0" xfId="0" applyFill="1"/>
    <xf numFmtId="0" fontId="17" fillId="0" borderId="0" xfId="0" applyFont="1"/>
    <xf numFmtId="0" fontId="20" fillId="0" borderId="0" xfId="0" applyFont="1"/>
    <xf numFmtId="0" fontId="20" fillId="17" borderId="0" xfId="0" applyFont="1" applyFill="1"/>
    <xf numFmtId="0" fontId="0" fillId="17" borderId="0" xfId="0" applyFill="1"/>
    <xf numFmtId="167" fontId="0" fillId="0" borderId="0" xfId="0" applyNumberFormat="1" applyFill="1"/>
    <xf numFmtId="43" fontId="0" fillId="0" borderId="0" xfId="3" applyFont="1" applyFill="1"/>
    <xf numFmtId="175" fontId="0" fillId="16" borderId="0" xfId="0" applyNumberFormat="1" applyFill="1"/>
    <xf numFmtId="164" fontId="0" fillId="16" borderId="0" xfId="0" applyNumberFormat="1" applyFill="1"/>
    <xf numFmtId="176" fontId="0" fillId="0" borderId="0" xfId="3" applyNumberFormat="1" applyFont="1"/>
    <xf numFmtId="3" fontId="0" fillId="18" borderId="0" xfId="3" applyNumberFormat="1" applyFont="1" applyFill="1"/>
    <xf numFmtId="0" fontId="0" fillId="0" borderId="0" xfId="0" applyFill="1" applyAlignment="1">
      <alignment horizontal="center" vertical="top" wrapText="1"/>
    </xf>
    <xf numFmtId="3" fontId="0" fillId="0" borderId="0" xfId="3" applyNumberFormat="1" applyFont="1" applyFill="1"/>
    <xf numFmtId="0" fontId="0" fillId="0" borderId="0" xfId="0" applyFill="1" applyAlignment="1">
      <alignment horizontal="center"/>
    </xf>
    <xf numFmtId="11" fontId="0" fillId="0" borderId="0" xfId="3" applyNumberFormat="1" applyFont="1"/>
    <xf numFmtId="4" fontId="21" fillId="0" borderId="43" xfId="0" applyNumberFormat="1" applyFont="1" applyFill="1" applyBorder="1" applyAlignment="1">
      <alignment horizontal="right" vertical="center" wrapText="1"/>
    </xf>
    <xf numFmtId="176" fontId="0" fillId="0" borderId="0" xfId="3" applyNumberFormat="1" applyFont="1" applyFill="1"/>
    <xf numFmtId="0" fontId="17" fillId="0" borderId="0" xfId="0" applyFont="1" applyFill="1"/>
    <xf numFmtId="167" fontId="0" fillId="16" borderId="0" xfId="0" applyNumberFormat="1" applyFill="1"/>
    <xf numFmtId="3" fontId="0" fillId="16" borderId="0" xfId="3" applyNumberFormat="1" applyFont="1" applyFill="1"/>
    <xf numFmtId="0" fontId="0" fillId="16" borderId="0" xfId="0" applyFill="1" applyAlignment="1">
      <alignment horizontal="center"/>
    </xf>
    <xf numFmtId="176" fontId="0" fillId="16" borderId="0" xfId="3" applyNumberFormat="1" applyFont="1" applyFill="1"/>
    <xf numFmtId="175" fontId="0" fillId="0" borderId="0" xfId="0" applyNumberFormat="1" applyFill="1"/>
    <xf numFmtId="0" fontId="0" fillId="18" borderId="0" xfId="0" applyFill="1" applyAlignment="1">
      <alignment horizontal="center"/>
    </xf>
    <xf numFmtId="167" fontId="0" fillId="17" borderId="0" xfId="0" applyNumberFormat="1" applyFill="1"/>
    <xf numFmtId="4" fontId="21" fillId="0" borderId="43" xfId="0" applyNumberFormat="1" applyFont="1" applyBorder="1" applyAlignment="1">
      <alignment horizontal="right" vertical="center" wrapText="1"/>
    </xf>
    <xf numFmtId="0" fontId="0" fillId="0" borderId="0" xfId="0" applyAlignment="1">
      <alignment horizontal="center" vertical="top" wrapText="1"/>
    </xf>
    <xf numFmtId="0" fontId="22" fillId="0" borderId="0" xfId="0" applyFont="1" applyFill="1" applyBorder="1"/>
    <xf numFmtId="0" fontId="22" fillId="0" borderId="0" xfId="0" applyFont="1" applyFill="1" applyBorder="1" applyAlignment="1">
      <alignment vertical="center" wrapText="1"/>
    </xf>
    <xf numFmtId="9" fontId="22" fillId="0" borderId="0" xfId="0" applyNumberFormat="1" applyFont="1" applyFill="1" applyBorder="1"/>
    <xf numFmtId="3" fontId="22" fillId="0" borderId="0" xfId="0" applyNumberFormat="1" applyFont="1" applyFill="1" applyBorder="1"/>
    <xf numFmtId="9" fontId="22" fillId="0" borderId="0" xfId="0" applyNumberFormat="1" applyFont="1" applyFill="1" applyBorder="1" applyAlignment="1">
      <alignment vertical="center" wrapText="1"/>
    </xf>
    <xf numFmtId="165" fontId="22" fillId="0" borderId="0" xfId="0" applyNumberFormat="1" applyFont="1" applyFill="1" applyBorder="1"/>
    <xf numFmtId="44" fontId="22" fillId="0" borderId="0" xfId="4" applyFont="1" applyFill="1" applyBorder="1" applyAlignment="1">
      <alignment vertical="center" wrapText="1"/>
    </xf>
    <xf numFmtId="44" fontId="22" fillId="0" borderId="0" xfId="4" applyFont="1" applyFill="1" applyBorder="1"/>
    <xf numFmtId="177" fontId="22" fillId="0" borderId="0" xfId="0" applyNumberFormat="1" applyFont="1" applyFill="1" applyBorder="1"/>
    <xf numFmtId="177" fontId="22" fillId="0" borderId="0" xfId="0" applyNumberFormat="1" applyFont="1" applyFill="1" applyBorder="1" applyAlignment="1">
      <alignment vertical="center" wrapText="1"/>
    </xf>
    <xf numFmtId="14" fontId="22" fillId="0" borderId="0" xfId="0" applyNumberFormat="1" applyFont="1" applyFill="1" applyBorder="1"/>
    <xf numFmtId="0" fontId="0" fillId="19" borderId="0" xfId="0" applyFill="1"/>
    <xf numFmtId="0" fontId="17" fillId="19" borderId="0" xfId="0" applyFont="1" applyFill="1"/>
    <xf numFmtId="3" fontId="0" fillId="19" borderId="0" xfId="3" applyNumberFormat="1" applyFont="1" applyFill="1"/>
    <xf numFmtId="44" fontId="17" fillId="0" borderId="0" xfId="4" applyFont="1"/>
    <xf numFmtId="174" fontId="0" fillId="14" borderId="0" xfId="0" applyNumberFormat="1" applyFill="1" applyBorder="1"/>
    <xf numFmtId="0" fontId="21" fillId="6" borderId="0" xfId="0" applyFont="1" applyFill="1" applyAlignment="1">
      <alignment horizontal="left"/>
    </xf>
    <xf numFmtId="0" fontId="21" fillId="6" borderId="0" xfId="0" applyFont="1" applyFill="1" applyAlignment="1">
      <alignment horizontal="center"/>
    </xf>
    <xf numFmtId="3" fontId="10" fillId="0" borderId="0" xfId="0" applyNumberFormat="1" applyFont="1" applyAlignment="1">
      <alignment horizontal="right" indent="2"/>
    </xf>
    <xf numFmtId="0" fontId="11" fillId="0" borderId="0" xfId="0" applyFont="1" applyAlignment="1">
      <alignment horizontal="right"/>
    </xf>
    <xf numFmtId="10" fontId="11" fillId="0" borderId="0" xfId="1" applyNumberFormat="1" applyFont="1" applyAlignment="1">
      <alignment horizontal="right"/>
    </xf>
    <xf numFmtId="3" fontId="10" fillId="0" borderId="0" xfId="0" applyNumberFormat="1" applyFont="1"/>
    <xf numFmtId="174" fontId="10" fillId="0" borderId="0" xfId="1" applyNumberFormat="1" applyFont="1"/>
    <xf numFmtId="3" fontId="10" fillId="0" borderId="0" xfId="0" applyNumberFormat="1" applyFont="1" applyAlignment="1">
      <alignment vertical="top"/>
    </xf>
    <xf numFmtId="0" fontId="10" fillId="0" borderId="0" xfId="0" applyFont="1" applyAlignment="1">
      <alignment horizontal="center" vertical="center"/>
    </xf>
    <xf numFmtId="0" fontId="10" fillId="0" borderId="0" xfId="0" applyFont="1" applyAlignment="1">
      <alignment horizontal="center" wrapText="1"/>
    </xf>
    <xf numFmtId="0" fontId="10" fillId="0" borderId="0" xfId="0" applyFont="1" applyAlignment="1"/>
    <xf numFmtId="0" fontId="10" fillId="0" borderId="10" xfId="0" applyFont="1" applyBorder="1" applyAlignment="1">
      <alignment vertical="top" wrapText="1"/>
    </xf>
    <xf numFmtId="0" fontId="10" fillId="0" borderId="10" xfId="0" applyFont="1" applyBorder="1" applyAlignment="1">
      <alignment horizontal="center" vertical="top" wrapText="1"/>
    </xf>
    <xf numFmtId="9" fontId="10" fillId="0" borderId="10" xfId="0" applyNumberFormat="1" applyFont="1" applyBorder="1" applyAlignment="1">
      <alignment horizontal="right" vertical="top" indent="2"/>
    </xf>
    <xf numFmtId="0" fontId="10" fillId="0" borderId="0" xfId="0" applyFont="1" applyAlignment="1">
      <alignment horizontal="center" vertical="top"/>
    </xf>
    <xf numFmtId="3" fontId="10" fillId="0" borderId="0" xfId="0" applyNumberFormat="1" applyFont="1" applyAlignment="1">
      <alignment horizontal="right"/>
    </xf>
    <xf numFmtId="165" fontId="10" fillId="0" borderId="0" xfId="0" applyNumberFormat="1" applyFont="1"/>
    <xf numFmtId="164" fontId="10" fillId="0" borderId="10" xfId="0" applyNumberFormat="1" applyFont="1" applyBorder="1" applyAlignment="1">
      <alignment horizontal="right" vertical="top" wrapText="1" indent="2"/>
    </xf>
    <xf numFmtId="164" fontId="10" fillId="0" borderId="10" xfId="0" applyNumberFormat="1" applyFont="1" applyBorder="1" applyAlignment="1">
      <alignment horizontal="right" vertical="top" indent="2"/>
    </xf>
    <xf numFmtId="9" fontId="10" fillId="0" borderId="0" xfId="1" applyFont="1" applyAlignment="1">
      <alignment horizontal="right"/>
    </xf>
    <xf numFmtId="43" fontId="0" fillId="0" borderId="0" xfId="3" applyFont="1"/>
    <xf numFmtId="0" fontId="10" fillId="0" borderId="0" xfId="0" applyFont="1" applyAlignment="1">
      <alignment horizontal="left"/>
    </xf>
    <xf numFmtId="0" fontId="5" fillId="14" borderId="10" xfId="0" applyFont="1" applyFill="1" applyBorder="1" applyAlignment="1">
      <alignment horizontal="center" vertical="top"/>
    </xf>
    <xf numFmtId="0" fontId="7" fillId="14" borderId="10" xfId="0" applyFont="1" applyFill="1" applyBorder="1" applyAlignment="1">
      <alignment horizontal="center"/>
    </xf>
    <xf numFmtId="0" fontId="5" fillId="14" borderId="60" xfId="0" applyFont="1" applyFill="1" applyBorder="1" applyAlignment="1">
      <alignment horizontal="center" vertical="center"/>
    </xf>
    <xf numFmtId="0" fontId="5" fillId="14" borderId="60" xfId="0" applyFont="1" applyFill="1" applyBorder="1" applyAlignment="1">
      <alignment horizontal="center"/>
    </xf>
    <xf numFmtId="0" fontId="8" fillId="14" borderId="52" xfId="0" applyFont="1" applyFill="1" applyBorder="1" applyAlignment="1">
      <alignment horizontal="center"/>
    </xf>
    <xf numFmtId="0" fontId="8" fillId="14" borderId="53" xfId="0" applyFont="1" applyFill="1" applyBorder="1" applyAlignment="1">
      <alignment horizontal="center"/>
    </xf>
    <xf numFmtId="0" fontId="8" fillId="14" borderId="54" xfId="0" applyFont="1" applyFill="1" applyBorder="1" applyAlignment="1">
      <alignment horizontal="center"/>
    </xf>
    <xf numFmtId="0" fontId="0" fillId="0" borderId="10" xfId="0" applyBorder="1" applyAlignment="1">
      <alignment horizontal="center"/>
    </xf>
    <xf numFmtId="0" fontId="0" fillId="0" borderId="10" xfId="0" applyBorder="1" applyAlignment="1">
      <alignment horizontal="right"/>
    </xf>
    <xf numFmtId="0" fontId="0" fillId="0" borderId="0" xfId="0" applyBorder="1" applyAlignment="1">
      <alignment horizontal="center"/>
    </xf>
    <xf numFmtId="0" fontId="0" fillId="0" borderId="69" xfId="0" applyBorder="1" applyAlignment="1">
      <alignment horizontal="center"/>
    </xf>
    <xf numFmtId="0" fontId="5" fillId="14" borderId="10" xfId="0" applyFont="1" applyFill="1" applyBorder="1" applyAlignment="1">
      <alignment horizontal="center" wrapText="1"/>
    </xf>
    <xf numFmtId="0" fontId="0" fillId="0" borderId="61" xfId="0" applyBorder="1" applyAlignment="1">
      <alignment horizontal="justify" vertical="top" wrapText="1"/>
    </xf>
    <xf numFmtId="0" fontId="0" fillId="0" borderId="0" xfId="0" applyBorder="1" applyAlignment="1">
      <alignment horizontal="justify" vertical="top" wrapText="1"/>
    </xf>
    <xf numFmtId="0" fontId="0" fillId="0" borderId="62" xfId="0" applyBorder="1" applyAlignment="1">
      <alignment horizontal="justify" vertical="top" wrapText="1"/>
    </xf>
    <xf numFmtId="0" fontId="0" fillId="0" borderId="63" xfId="0" applyBorder="1" applyAlignment="1">
      <alignment horizontal="justify" vertical="top" wrapText="1"/>
    </xf>
    <xf numFmtId="0" fontId="0" fillId="0" borderId="64" xfId="0" applyBorder="1" applyAlignment="1">
      <alignment horizontal="justify" vertical="top" wrapText="1"/>
    </xf>
    <xf numFmtId="0" fontId="0" fillId="0" borderId="65" xfId="0" applyBorder="1" applyAlignment="1">
      <alignment horizontal="justify" vertical="top" wrapText="1"/>
    </xf>
    <xf numFmtId="0" fontId="5" fillId="14" borderId="10" xfId="0" applyFont="1" applyFill="1" applyBorder="1" applyAlignment="1">
      <alignment horizontal="center"/>
    </xf>
    <xf numFmtId="0" fontId="0" fillId="0" borderId="10" xfId="0" applyBorder="1" applyAlignment="1">
      <alignment horizontal="center" vertical="center"/>
    </xf>
    <xf numFmtId="0" fontId="0" fillId="0" borderId="1" xfId="0" applyFill="1" applyBorder="1" applyAlignment="1">
      <alignment horizontal="center" wrapText="1"/>
    </xf>
    <xf numFmtId="0" fontId="0" fillId="0" borderId="2" xfId="0" applyFill="1" applyBorder="1" applyAlignment="1">
      <alignment horizontal="center" wrapText="1"/>
    </xf>
    <xf numFmtId="0" fontId="0" fillId="0" borderId="3" xfId="0" applyFill="1" applyBorder="1" applyAlignment="1">
      <alignment horizontal="center" wrapText="1"/>
    </xf>
    <xf numFmtId="0" fontId="0" fillId="0" borderId="33" xfId="0" applyBorder="1" applyAlignment="1">
      <alignment horizontal="center"/>
    </xf>
    <xf numFmtId="0" fontId="0" fillId="0" borderId="18" xfId="0" applyBorder="1" applyAlignment="1">
      <alignment horizontal="center"/>
    </xf>
    <xf numFmtId="0" fontId="0" fillId="0" borderId="34" xfId="0" applyBorder="1" applyAlignment="1">
      <alignment horizontal="center"/>
    </xf>
    <xf numFmtId="0" fontId="0" fillId="0" borderId="19" xfId="0" applyFill="1" applyBorder="1" applyAlignment="1">
      <alignment horizontal="center" wrapText="1"/>
    </xf>
    <xf numFmtId="0" fontId="0" fillId="0" borderId="18" xfId="0" applyFill="1"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9" xfId="0" applyBorder="1" applyAlignment="1">
      <alignment horizont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0"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0" borderId="33" xfId="0" applyFill="1" applyBorder="1" applyAlignment="1">
      <alignment horizontal="center" wrapText="1"/>
    </xf>
    <xf numFmtId="0" fontId="0" fillId="0" borderId="34" xfId="0" applyFill="1" applyBorder="1" applyAlignment="1">
      <alignment horizontal="center"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7" fillId="0" borderId="0" xfId="0" applyFont="1" applyFill="1" applyAlignment="1">
      <alignment horizontal="center"/>
    </xf>
    <xf numFmtId="3" fontId="0" fillId="0" borderId="0" xfId="3" applyNumberFormat="1" applyFont="1" applyFill="1" applyAlignment="1">
      <alignment horizontal="center"/>
    </xf>
    <xf numFmtId="0" fontId="10" fillId="0" borderId="0" xfId="0" applyFont="1" applyAlignment="1">
      <alignment horizontal="left" vertical="top" wrapText="1"/>
    </xf>
    <xf numFmtId="0" fontId="10" fillId="0" borderId="0" xfId="0" applyFont="1" applyAlignment="1">
      <alignment horizontal="center"/>
    </xf>
    <xf numFmtId="0" fontId="10" fillId="0" borderId="0" xfId="0" applyFont="1" applyAlignment="1">
      <alignment horizontal="center" vertical="top" wrapText="1"/>
    </xf>
    <xf numFmtId="0" fontId="10" fillId="18" borderId="0" xfId="0" applyFont="1" applyFill="1" applyAlignment="1">
      <alignment horizontal="left"/>
    </xf>
    <xf numFmtId="0" fontId="10" fillId="18" borderId="0" xfId="0" applyFont="1" applyFill="1"/>
    <xf numFmtId="165" fontId="10" fillId="18" borderId="0" xfId="0" applyNumberFormat="1" applyFont="1" applyFill="1"/>
    <xf numFmtId="0" fontId="25" fillId="0" borderId="0" xfId="0" applyFont="1" applyAlignment="1">
      <alignment horizontal="left" vertical="center"/>
    </xf>
    <xf numFmtId="165" fontId="10" fillId="0" borderId="0" xfId="0" applyNumberFormat="1" applyFont="1" applyFill="1"/>
  </cellXfs>
  <cellStyles count="6">
    <cellStyle name="20% - Énfasis1 3" xfId="5" xr:uid="{23B97A9A-7238-42A0-8140-C1735AF8D27F}"/>
    <cellStyle name="Comma" xfId="3" builtinId="3"/>
    <cellStyle name="Currency" xfId="4" builtinId="4"/>
    <cellStyle name="Hyperlink" xfId="2" builtinId="8"/>
    <cellStyle name="Normal" xfId="0" builtinId="0"/>
    <cellStyle name="Percent" xfId="1" builtinId="5"/>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'Analisis y proyección'!$L$4</c:f>
              <c:strCache>
                <c:ptCount val="1"/>
                <c:pt idx="0">
                  <c:v>Población Total de Bovinos</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2700" cap="rnd">
                <a:solidFill>
                  <a:schemeClr val="tx1"/>
                </a:solidFill>
                <a:prstDash val="solid"/>
              </a:ln>
              <a:effectLst/>
            </c:spPr>
            <c:trendlineType val="linear"/>
            <c:dispRSqr val="0"/>
            <c:dispEq val="1"/>
            <c:trendlineLbl>
              <c:layout>
                <c:manualLayout>
                  <c:x val="0.20070122484689415"/>
                  <c:y val="0.14881160688247302"/>
                </c:manualLayout>
              </c:layout>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en-US" b="1" baseline="0"/>
                      <a:t>p = 5.85719515E+04y - 1.15871574E+08</a:t>
                    </a:r>
                    <a:endParaRPr lang="en-US" b="1"/>
                  </a:p>
                </c:rich>
              </c:tx>
              <c:numFmt formatCode="0.00000000E+00" sourceLinked="0"/>
              <c:spPr>
                <a:solidFill>
                  <a:schemeClr val="accent5">
                    <a:lumMod val="20000"/>
                    <a:lumOff val="80000"/>
                  </a:schemeClr>
                </a:solid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trendlineLbl>
          </c:trendline>
          <c:xVal>
            <c:numRef>
              <c:f>'Analisis y proyección'!$K$6:$K$15</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'Analisis y proyección'!$L$6:$L$15</c:f>
              <c:numCache>
                <c:formatCode>#,##0</c:formatCode>
                <c:ptCount val="10"/>
                <c:pt idx="0">
                  <c:v>1786909</c:v>
                </c:pt>
                <c:pt idx="1">
                  <c:v>1909302</c:v>
                </c:pt>
                <c:pt idx="2">
                  <c:v>1888691</c:v>
                </c:pt>
                <c:pt idx="3">
                  <c:v>1887620</c:v>
                </c:pt>
                <c:pt idx="4">
                  <c:v>1860005</c:v>
                </c:pt>
                <c:pt idx="5">
                  <c:v>1935016</c:v>
                </c:pt>
                <c:pt idx="6">
                  <c:v>1978363</c:v>
                </c:pt>
                <c:pt idx="7">
                  <c:v>2080550</c:v>
                </c:pt>
                <c:pt idx="8">
                  <c:v>2329919</c:v>
                </c:pt>
                <c:pt idx="9">
                  <c:v>2388411</c:v>
                </c:pt>
              </c:numCache>
            </c:numRef>
          </c:yVal>
          <c:smooth val="0"/>
          <c:extLst>
            <c:ext xmlns:c16="http://schemas.microsoft.com/office/drawing/2014/chart" uri="{C3380CC4-5D6E-409C-BE32-E72D297353CC}">
              <c16:uniqueId val="{00000000-378C-4605-9D2B-0B3C7D4297F8}"/>
            </c:ext>
          </c:extLst>
        </c:ser>
        <c:ser>
          <c:idx val="2"/>
          <c:order val="1"/>
          <c:tx>
            <c:strRef>
              <c:f>'Analisis y proyección'!$N$4</c:f>
              <c:strCache>
                <c:ptCount val="1"/>
                <c:pt idx="0">
                  <c:v>Proyección de la población</c:v>
                </c:pt>
              </c:strCache>
            </c:strRef>
          </c:tx>
          <c:spPr>
            <a:ln w="25400" cap="rnd">
              <a:solidFill>
                <a:schemeClr val="accent1"/>
              </a:solidFill>
              <a:prstDash val="dash"/>
              <a:round/>
            </a:ln>
            <a:effectLst/>
          </c:spPr>
          <c:marker>
            <c:symbol val="none"/>
          </c:marker>
          <c:xVal>
            <c:numRef>
              <c:f>'Analisis y proyección'!$K$6:$K$30</c:f>
              <c:numCache>
                <c:formatCode>General</c:formatCode>
                <c:ptCount val="2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2026</c:v>
                </c:pt>
                <c:pt idx="19">
                  <c:v>2027</c:v>
                </c:pt>
                <c:pt idx="20">
                  <c:v>2028</c:v>
                </c:pt>
                <c:pt idx="21">
                  <c:v>2029</c:v>
                </c:pt>
                <c:pt idx="22">
                  <c:v>2030</c:v>
                </c:pt>
                <c:pt idx="23">
                  <c:v>2031</c:v>
                </c:pt>
                <c:pt idx="24">
                  <c:v>2032</c:v>
                </c:pt>
              </c:numCache>
            </c:numRef>
          </c:xVal>
          <c:yVal>
            <c:numRef>
              <c:f>'Analisis y proyección'!$N$6:$N$30</c:f>
              <c:numCache>
                <c:formatCode>#,##0</c:formatCode>
                <c:ptCount val="25"/>
                <c:pt idx="0">
                  <c:v>1740904.6120000035</c:v>
                </c:pt>
                <c:pt idx="1">
                  <c:v>1792830.3901693183</c:v>
                </c:pt>
                <c:pt idx="2">
                  <c:v>1846304.9530451032</c:v>
                </c:pt>
                <c:pt idx="3">
                  <c:v>1901374.496065377</c:v>
                </c:pt>
                <c:pt idx="4">
                  <c:v>1958086.592534614</c:v>
                </c:pt>
                <c:pt idx="5">
                  <c:v>2016490.234721221</c:v>
                </c:pt>
                <c:pt idx="6">
                  <c:v>2076635.8761808253</c:v>
                </c:pt>
                <c:pt idx="7">
                  <c:v>2138575.4753419342</c:v>
                </c:pt>
                <c:pt idx="8">
                  <c:v>2202362.5403916202</c:v>
                </c:pt>
                <c:pt idx="9">
                  <c:v>2268052.175500005</c:v>
                </c:pt>
                <c:pt idx="10">
                  <c:v>2335701.128423478</c:v>
                </c:pt>
                <c:pt idx="11">
                  <c:v>2405367.8395277713</c:v>
                </c:pt>
                <c:pt idx="12">
                  <c:v>2477112.492273239</c:v>
                </c:pt>
                <c:pt idx="13">
                  <c:v>2550997.0652059568</c:v>
                </c:pt>
                <c:pt idx="14">
                  <c:v>2627085.3854995547</c:v>
                </c:pt>
                <c:pt idx="15">
                  <c:v>2705443.1840940355</c:v>
                </c:pt>
                <c:pt idx="16">
                  <c:v>2786138.1524792141</c:v>
                </c:pt>
                <c:pt idx="17">
                  <c:v>2869240.0011718296</c:v>
                </c:pt>
                <c:pt idx="18">
                  <c:v>2954820.519936848</c:v>
                </c:pt>
                <c:pt idx="19">
                  <c:v>3042953.6398049803</c:v>
                </c:pt>
                <c:pt idx="20">
                  <c:v>3133715.4969399893</c:v>
                </c:pt>
                <c:pt idx="21">
                  <c:v>3227184.4984109611</c:v>
                </c:pt>
                <c:pt idx="22">
                  <c:v>3323441.3899263586</c:v>
                </c:pt>
                <c:pt idx="23">
                  <c:v>3422569.3255883702</c:v>
                </c:pt>
                <c:pt idx="24">
                  <c:v>3524653.9397278167</c:v>
                </c:pt>
              </c:numCache>
            </c:numRef>
          </c:yVal>
          <c:smooth val="0"/>
          <c:extLst>
            <c:ext xmlns:c16="http://schemas.microsoft.com/office/drawing/2014/chart" uri="{C3380CC4-5D6E-409C-BE32-E72D297353CC}">
              <c16:uniqueId val="{00000003-378C-4605-9D2B-0B3C7D4297F8}"/>
            </c:ext>
          </c:extLst>
        </c:ser>
        <c:dLbls>
          <c:showLegendKey val="0"/>
          <c:showVal val="0"/>
          <c:showCatName val="0"/>
          <c:showSerName val="0"/>
          <c:showPercent val="0"/>
          <c:showBubbleSize val="0"/>
        </c:dLbls>
        <c:axId val="413479704"/>
        <c:axId val="413482000"/>
      </c:scatterChart>
      <c:valAx>
        <c:axId val="4134797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482000"/>
        <c:crosses val="autoZero"/>
        <c:crossBetween val="midCat"/>
      </c:valAx>
      <c:valAx>
        <c:axId val="413482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Población de ganado (cabezas)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479704"/>
        <c:crosses val="autoZero"/>
        <c:crossBetween val="midCat"/>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'Analisis y proyección'!$H$4</c:f>
              <c:strCache>
                <c:ptCount val="1"/>
                <c:pt idx="0">
                  <c:v>3A2a Gestión del estiércol [5]</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backward val="1935016"/>
            <c:intercept val="0"/>
            <c:dispRSqr val="1"/>
            <c:dispEq val="1"/>
            <c:trendlineLbl>
              <c:layout>
                <c:manualLayout>
                  <c:x val="-6.2102799650043741E-2"/>
                  <c:y val="-4.1666666666666669E-4"/>
                </c:manualLayout>
              </c:layout>
              <c:numFmt formatCode="0.00000000E+00" sourceLinked="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trendlineLbl>
          </c:trendline>
          <c:xVal>
            <c:numRef>
              <c:f>'Analisis y proyección'!$F$10:$F$14</c:f>
              <c:numCache>
                <c:formatCode>#,##0</c:formatCode>
                <c:ptCount val="5"/>
                <c:pt idx="0">
                  <c:v>1935016</c:v>
                </c:pt>
                <c:pt idx="1">
                  <c:v>1978363</c:v>
                </c:pt>
                <c:pt idx="2">
                  <c:v>2080550</c:v>
                </c:pt>
                <c:pt idx="3">
                  <c:v>2329919</c:v>
                </c:pt>
                <c:pt idx="4">
                  <c:v>2388411</c:v>
                </c:pt>
              </c:numCache>
            </c:numRef>
          </c:xVal>
          <c:yVal>
            <c:numRef>
              <c:f>'Analisis y proyección'!$H$10:$H$14</c:f>
              <c:numCache>
                <c:formatCode>#,##0</c:formatCode>
                <c:ptCount val="5"/>
                <c:pt idx="0">
                  <c:v>3600.3411524080839</c:v>
                </c:pt>
                <c:pt idx="1">
                  <c:v>3684.2695272366668</c:v>
                </c:pt>
                <c:pt idx="2">
                  <c:v>3817.6399996797709</c:v>
                </c:pt>
                <c:pt idx="3">
                  <c:v>4423.6938958774172</c:v>
                </c:pt>
                <c:pt idx="4">
                  <c:v>4605.358367948681</c:v>
                </c:pt>
              </c:numCache>
            </c:numRef>
          </c:yVal>
          <c:smooth val="0"/>
          <c:extLst>
            <c:ext xmlns:c16="http://schemas.microsoft.com/office/drawing/2014/chart" uri="{C3380CC4-5D6E-409C-BE32-E72D297353CC}">
              <c16:uniqueId val="{00000000-1185-490D-AEF0-39D55291D856}"/>
            </c:ext>
          </c:extLst>
        </c:ser>
        <c:ser>
          <c:idx val="1"/>
          <c:order val="1"/>
          <c:tx>
            <c:strRef>
              <c:f>'Analisis y proyección'!$G$4</c:f>
              <c:strCache>
                <c:ptCount val="1"/>
                <c:pt idx="0">
                  <c:v>3A1a Fermentación entérica [4]</c:v>
                </c:pt>
              </c:strCache>
            </c:strRef>
          </c:tx>
          <c:spPr>
            <a:ln w="1905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backward val="1935016"/>
            <c:intercept val="0"/>
            <c:dispRSqr val="1"/>
            <c:dispEq val="1"/>
            <c:trendlineLbl>
              <c:layout>
                <c:manualLayout>
                  <c:x val="8.5119422572178471E-2"/>
                  <c:y val="0.15351086322543014"/>
                </c:manualLayout>
              </c:layout>
              <c:numFmt formatCode="0.00000000E+00" sourceLinked="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trendlineLbl>
          </c:trendline>
          <c:xVal>
            <c:numRef>
              <c:f>'Analisis y proyección'!$F$10:$F$14</c:f>
              <c:numCache>
                <c:formatCode>#,##0</c:formatCode>
                <c:ptCount val="5"/>
                <c:pt idx="0">
                  <c:v>1935016</c:v>
                </c:pt>
                <c:pt idx="1">
                  <c:v>1978363</c:v>
                </c:pt>
                <c:pt idx="2">
                  <c:v>2080550</c:v>
                </c:pt>
                <c:pt idx="3">
                  <c:v>2329919</c:v>
                </c:pt>
                <c:pt idx="4">
                  <c:v>2388411</c:v>
                </c:pt>
              </c:numCache>
            </c:numRef>
          </c:xVal>
          <c:yVal>
            <c:numRef>
              <c:f>'Analisis y proyección'!$G$10:$G$14</c:f>
              <c:numCache>
                <c:formatCode>#,##0</c:formatCode>
                <c:ptCount val="5"/>
                <c:pt idx="0">
                  <c:v>3237.0198383011998</c:v>
                </c:pt>
                <c:pt idx="1">
                  <c:v>3315.9102162787999</c:v>
                </c:pt>
                <c:pt idx="2">
                  <c:v>3479.1418364527999</c:v>
                </c:pt>
                <c:pt idx="3">
                  <c:v>3860.5180900104001</c:v>
                </c:pt>
                <c:pt idx="4">
                  <c:v>3960.1264578540004</c:v>
                </c:pt>
              </c:numCache>
            </c:numRef>
          </c:yVal>
          <c:smooth val="0"/>
          <c:extLst>
            <c:ext xmlns:c16="http://schemas.microsoft.com/office/drawing/2014/chart" uri="{C3380CC4-5D6E-409C-BE32-E72D297353CC}">
              <c16:uniqueId val="{00000001-1185-490D-AEF0-39D55291D856}"/>
            </c:ext>
          </c:extLst>
        </c:ser>
        <c:dLbls>
          <c:showLegendKey val="0"/>
          <c:showVal val="0"/>
          <c:showCatName val="0"/>
          <c:showSerName val="0"/>
          <c:showPercent val="0"/>
          <c:showBubbleSize val="0"/>
        </c:dLbls>
        <c:axId val="405854440"/>
        <c:axId val="405854768"/>
      </c:scatterChart>
      <c:valAx>
        <c:axId val="4058544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cabezas de ganado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5854768"/>
        <c:crosses val="autoZero"/>
        <c:crossBetween val="midCat"/>
      </c:valAx>
      <c:valAx>
        <c:axId val="405854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Emisiones (Gg CO</a:t>
                </a:r>
                <a:r>
                  <a:rPr lang="en-US" baseline="-25000"/>
                  <a:t>2</a:t>
                </a:r>
                <a:r>
                  <a:rPr lang="en-US"/>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5854440"/>
        <c:crosses val="autoZero"/>
        <c:crossBetween val="midCat"/>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C8B-484F-8FFB-C84D796CB5E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C8B-484F-8FFB-C84D796CB5E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CC8B-484F-8FFB-C84D796CB5E9}"/>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CC8B-484F-8FFB-C84D796CB5E9}"/>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CC8B-484F-8FFB-C84D796CB5E9}"/>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CC8B-484F-8FFB-C84D796CB5E9}"/>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CC8B-484F-8FFB-C84D796CB5E9}"/>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CC8B-484F-8FFB-C84D796CB5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Totales!$A$91:$A$98</c:f>
              <c:strCache>
                <c:ptCount val="8"/>
                <c:pt idx="0">
                  <c:v>Bovinos leche</c:v>
                </c:pt>
                <c:pt idx="1">
                  <c:v>Bovinos carne</c:v>
                </c:pt>
                <c:pt idx="2">
                  <c:v>Porcinos</c:v>
                </c:pt>
                <c:pt idx="3">
                  <c:v>Ovinos</c:v>
                </c:pt>
                <c:pt idx="4">
                  <c:v>Caprinos</c:v>
                </c:pt>
                <c:pt idx="5">
                  <c:v>Caballos</c:v>
                </c:pt>
                <c:pt idx="6">
                  <c:v>Mulas y asnos</c:v>
                </c:pt>
                <c:pt idx="7">
                  <c:v>Aves de corral</c:v>
                </c:pt>
              </c:strCache>
            </c:strRef>
          </c:cat>
          <c:val>
            <c:numRef>
              <c:f>Totales!$B$91:$B$98</c:f>
              <c:numCache>
                <c:formatCode>0.0</c:formatCode>
                <c:ptCount val="8"/>
                <c:pt idx="0">
                  <c:v>1348.1378177501108</c:v>
                </c:pt>
                <c:pt idx="1">
                  <c:v>7217.3470080525694</c:v>
                </c:pt>
                <c:pt idx="2">
                  <c:v>343.19136968986879</c:v>
                </c:pt>
                <c:pt idx="3">
                  <c:v>61.014727179338408</c:v>
                </c:pt>
                <c:pt idx="4">
                  <c:v>53.736739142764407</c:v>
                </c:pt>
                <c:pt idx="5">
                  <c:v>62.555569238364406</c:v>
                </c:pt>
                <c:pt idx="6">
                  <c:v>129.84520991508509</c:v>
                </c:pt>
                <c:pt idx="7">
                  <c:v>2.3905864589538037</c:v>
                </c:pt>
              </c:numCache>
            </c:numRef>
          </c:val>
          <c:extLst>
            <c:ext xmlns:c16="http://schemas.microsoft.com/office/drawing/2014/chart" uri="{C3380CC4-5D6E-409C-BE32-E72D297353CC}">
              <c16:uniqueId val="{00000000-0EA8-D740-8E8B-E5B2DC934C0B}"/>
            </c:ext>
          </c:extLst>
        </c:ser>
        <c:dLbls>
          <c:showLegendKey val="0"/>
          <c:showVal val="0"/>
          <c:showCatName val="1"/>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'Bases de proyeccion 3A'!$A$31</c:f>
              <c:strCache>
                <c:ptCount val="1"/>
                <c:pt idx="0">
                  <c:v>3A2a Bovinos</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3A'!$B$31:$U$31</c:f>
              <c:numCache>
                <c:formatCode>#,##0</c:formatCode>
                <c:ptCount val="20"/>
                <c:pt idx="0">
                  <c:v>3600.3411524080839</c:v>
                </c:pt>
                <c:pt idx="1">
                  <c:v>3684.2695272366668</c:v>
                </c:pt>
                <c:pt idx="2">
                  <c:v>3817.6399996797709</c:v>
                </c:pt>
                <c:pt idx="3">
                  <c:v>4423.6938958774172</c:v>
                </c:pt>
                <c:pt idx="4">
                  <c:v>4605.358367948681</c:v>
                </c:pt>
                <c:pt idx="5">
                  <c:v>4395.0792369798346</c:v>
                </c:pt>
                <c:pt idx="6">
                  <c:v>4526.1708016312668</c:v>
                </c:pt>
                <c:pt idx="7">
                  <c:v>4661.1724205493392</c:v>
                </c:pt>
                <c:pt idx="8">
                  <c:v>4800.2007185100847</c:v>
                </c:pt>
                <c:pt idx="9">
                  <c:v>4943.3757988444349</c:v>
                </c:pt>
                <c:pt idx="10">
                  <c:v>5090.8213471926956</c:v>
                </c:pt>
                <c:pt idx="11">
                  <c:v>5242.6647383537165</c:v>
                </c:pt>
                <c:pt idx="12">
                  <c:v>5399.0371463210322</c:v>
                </c:pt>
                <c:pt idx="13">
                  <c:v>5560.0736576010404</c:v>
                </c:pt>
                <c:pt idx="14">
                  <c:v>5725.9133879111123</c:v>
                </c:pt>
                <c:pt idx="15">
                  <c:v>5896.6996023584461</c:v>
                </c:pt>
                <c:pt idx="16">
                  <c:v>6072.5798392034685</c:v>
                </c:pt>
                <c:pt idx="17">
                  <c:v>6253.7060373147378</c:v>
                </c:pt>
                <c:pt idx="18">
                  <c:v>6440.2346674254077</c:v>
                </c:pt>
                <c:pt idx="19">
                  <c:v>6632.3268673046896</c:v>
                </c:pt>
              </c:numCache>
            </c:numRef>
          </c:yVal>
          <c:smooth val="0"/>
          <c:extLst>
            <c:ext xmlns:c16="http://schemas.microsoft.com/office/drawing/2014/chart" uri="{C3380CC4-5D6E-409C-BE32-E72D297353CC}">
              <c16:uniqueId val="{00000000-E089-4334-BE72-E76574CE6ED4}"/>
            </c:ext>
          </c:extLst>
        </c:ser>
        <c:ser>
          <c:idx val="1"/>
          <c:order val="1"/>
          <c:tx>
            <c:strRef>
              <c:f>'Bases de proyeccion 3A'!$A$32</c:f>
              <c:strCache>
                <c:ptCount val="1"/>
                <c:pt idx="0">
                  <c:v>3A1a Bovino</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3A'!$B$32:$U$32</c:f>
              <c:numCache>
                <c:formatCode>#,##0</c:formatCode>
                <c:ptCount val="20"/>
                <c:pt idx="0">
                  <c:v>3237.0198383011998</c:v>
                </c:pt>
                <c:pt idx="1">
                  <c:v>3315.9102162787999</c:v>
                </c:pt>
                <c:pt idx="2">
                  <c:v>3479.1418364527999</c:v>
                </c:pt>
                <c:pt idx="3">
                  <c:v>3860.5180900104001</c:v>
                </c:pt>
                <c:pt idx="4">
                  <c:v>3960.1264578540004</c:v>
                </c:pt>
                <c:pt idx="5">
                  <c:v>3891.035283821217</c:v>
                </c:pt>
                <c:pt idx="6">
                  <c:v>4007.0927826663496</c:v>
                </c:pt>
                <c:pt idx="7">
                  <c:v>4126.6119162836476</c:v>
                </c:pt>
                <c:pt idx="8">
                  <c:v>4249.6959344881989</c:v>
                </c:pt>
                <c:pt idx="9">
                  <c:v>4376.4511667164388</c:v>
                </c:pt>
                <c:pt idx="10">
                  <c:v>4506.9871138816798</c:v>
                </c:pt>
                <c:pt idx="11">
                  <c:v>4641.4165429694249</c:v>
                </c:pt>
                <c:pt idx="12">
                  <c:v>4779.8555844541515</c:v>
                </c:pt>
                <c:pt idx="13">
                  <c:v>4922.4238326217464</c:v>
                </c:pt>
                <c:pt idx="14">
                  <c:v>5069.2444488842439</c:v>
                </c:pt>
                <c:pt idx="15">
                  <c:v>5220.4442681761211</c:v>
                </c:pt>
                <c:pt idx="16">
                  <c:v>5376.1539085240574</c:v>
                </c:pt>
                <c:pt idx="17">
                  <c:v>5536.5078838848376</c:v>
                </c:pt>
                <c:pt idx="18">
                  <c:v>5701.644720348836</c:v>
                </c:pt>
                <c:pt idx="19">
                  <c:v>5871.7070758095169</c:v>
                </c:pt>
              </c:numCache>
            </c:numRef>
          </c:yVal>
          <c:smooth val="0"/>
          <c:extLst>
            <c:ext xmlns:c16="http://schemas.microsoft.com/office/drawing/2014/chart" uri="{C3380CC4-5D6E-409C-BE32-E72D297353CC}">
              <c16:uniqueId val="{00000001-E089-4334-BE72-E76574CE6ED4}"/>
            </c:ext>
          </c:extLst>
        </c:ser>
        <c:dLbls>
          <c:showLegendKey val="0"/>
          <c:showVal val="0"/>
          <c:showCatName val="0"/>
          <c:showSerName val="0"/>
          <c:showPercent val="0"/>
          <c:showBubbleSize val="0"/>
        </c:dLbls>
        <c:axId val="498026896"/>
        <c:axId val="498024928"/>
      </c:scatterChart>
      <c:valAx>
        <c:axId val="4980268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8024928"/>
        <c:crosses val="autoZero"/>
        <c:crossBetween val="midCat"/>
      </c:valAx>
      <c:valAx>
        <c:axId val="498024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80268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37292213473316"/>
          <c:y val="5.0925925925925923E-2"/>
          <c:w val="0.76673818897637791"/>
          <c:h val="0.62197433654126566"/>
        </c:manualLayout>
      </c:layout>
      <c:scatterChart>
        <c:scatterStyle val="lineMarker"/>
        <c:varyColors val="0"/>
        <c:ser>
          <c:idx val="2"/>
          <c:order val="0"/>
          <c:tx>
            <c:strRef>
              <c:f>'Bases de proyeccion 3A'!$A$33</c:f>
              <c:strCache>
                <c:ptCount val="1"/>
                <c:pt idx="0">
                  <c:v>3A2a + 3A1a (Bovinos tendencial)</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3A'!$B$33:$U$33</c:f>
              <c:numCache>
                <c:formatCode>#,##0</c:formatCode>
                <c:ptCount val="20"/>
                <c:pt idx="0">
                  <c:v>6837.3609907092832</c:v>
                </c:pt>
                <c:pt idx="1">
                  <c:v>7000.1797435154667</c:v>
                </c:pt>
                <c:pt idx="2">
                  <c:v>7296.7818361325708</c:v>
                </c:pt>
                <c:pt idx="3">
                  <c:v>8284.2119858878177</c:v>
                </c:pt>
                <c:pt idx="4">
                  <c:v>8565.4848258026814</c:v>
                </c:pt>
                <c:pt idx="5">
                  <c:v>8286.1145208010512</c:v>
                </c:pt>
                <c:pt idx="6">
                  <c:v>8533.263584297616</c:v>
                </c:pt>
                <c:pt idx="7">
                  <c:v>8787.7843368329868</c:v>
                </c:pt>
                <c:pt idx="8">
                  <c:v>9049.8966529982827</c:v>
                </c:pt>
                <c:pt idx="9">
                  <c:v>9319.8269655608747</c:v>
                </c:pt>
                <c:pt idx="10">
                  <c:v>9597.8084610743754</c:v>
                </c:pt>
                <c:pt idx="11">
                  <c:v>9884.0812813231423</c:v>
                </c:pt>
                <c:pt idx="12">
                  <c:v>10178.892730775184</c:v>
                </c:pt>
                <c:pt idx="13">
                  <c:v>10482.497490222788</c:v>
                </c:pt>
                <c:pt idx="14">
                  <c:v>10795.157836795355</c:v>
                </c:pt>
                <c:pt idx="15">
                  <c:v>11117.143870534568</c:v>
                </c:pt>
                <c:pt idx="16">
                  <c:v>11448.733747727525</c:v>
                </c:pt>
                <c:pt idx="17">
                  <c:v>11790.213921199575</c:v>
                </c:pt>
                <c:pt idx="18">
                  <c:v>12141.879387774243</c:v>
                </c:pt>
                <c:pt idx="19">
                  <c:v>12504.033943114206</c:v>
                </c:pt>
              </c:numCache>
            </c:numRef>
          </c:yVal>
          <c:smooth val="0"/>
          <c:extLst>
            <c:ext xmlns:c16="http://schemas.microsoft.com/office/drawing/2014/chart" uri="{C3380CC4-5D6E-409C-BE32-E72D297353CC}">
              <c16:uniqueId val="{00000000-B56A-4064-A7D6-BA195085BEC1}"/>
            </c:ext>
          </c:extLst>
        </c:ser>
        <c:ser>
          <c:idx val="3"/>
          <c:order val="1"/>
          <c:tx>
            <c:strRef>
              <c:f>'Bases de proyeccion 3A'!$A$34</c:f>
              <c:strCache>
                <c:ptCount val="1"/>
                <c:pt idx="0">
                  <c:v>Escenario conservador</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3A'!$B$34:$U$34</c:f>
              <c:numCache>
                <c:formatCode>#,##0</c:formatCode>
                <c:ptCount val="20"/>
                <c:pt idx="0">
                  <c:v>6837.3609907092832</c:v>
                </c:pt>
                <c:pt idx="1">
                  <c:v>7000.1797435154667</c:v>
                </c:pt>
                <c:pt idx="2">
                  <c:v>7296.7818361325708</c:v>
                </c:pt>
                <c:pt idx="3">
                  <c:v>8284.2119858878177</c:v>
                </c:pt>
                <c:pt idx="4">
                  <c:v>8565.4848258026814</c:v>
                </c:pt>
                <c:pt idx="5">
                  <c:v>8286.1145208010512</c:v>
                </c:pt>
                <c:pt idx="6">
                  <c:v>8533.263584297616</c:v>
                </c:pt>
                <c:pt idx="7">
                  <c:v>8386.471330007158</c:v>
                </c:pt>
                <c:pt idx="8">
                  <c:v>8223.3307979271012</c:v>
                </c:pt>
                <c:pt idx="9">
                  <c:v>8042.997344138832</c:v>
                </c:pt>
                <c:pt idx="10">
                  <c:v>7844.5904826549122</c:v>
                </c:pt>
                <c:pt idx="11">
                  <c:v>7852.8813769947092</c:v>
                </c:pt>
                <c:pt idx="12">
                  <c:v>7854.687964607062</c:v>
                </c:pt>
                <c:pt idx="13">
                  <c:v>8088.9689137343166</c:v>
                </c:pt>
                <c:pt idx="14">
                  <c:v>8330.2377360108621</c:v>
                </c:pt>
                <c:pt idx="15">
                  <c:v>8578.7028579918024</c:v>
                </c:pt>
                <c:pt idx="16">
                  <c:v>8834.5789229490856</c:v>
                </c:pt>
                <c:pt idx="17">
                  <c:v>9098.086976296905</c:v>
                </c:pt>
                <c:pt idx="18">
                  <c:v>9369.454656547683</c:v>
                </c:pt>
                <c:pt idx="19">
                  <c:v>9648.9163919637522</c:v>
                </c:pt>
              </c:numCache>
            </c:numRef>
          </c:yVal>
          <c:smooth val="0"/>
          <c:extLst>
            <c:ext xmlns:c16="http://schemas.microsoft.com/office/drawing/2014/chart" uri="{C3380CC4-5D6E-409C-BE32-E72D297353CC}">
              <c16:uniqueId val="{00000001-B56A-4064-A7D6-BA195085BEC1}"/>
            </c:ext>
          </c:extLst>
        </c:ser>
        <c:ser>
          <c:idx val="4"/>
          <c:order val="2"/>
          <c:tx>
            <c:strRef>
              <c:f>'Bases de proyeccion 3A'!$A$35</c:f>
              <c:strCache>
                <c:ptCount val="1"/>
                <c:pt idx="0">
                  <c:v>Escenario medio</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3A'!$B$35:$U$35</c:f>
              <c:numCache>
                <c:formatCode>#,##0</c:formatCode>
                <c:ptCount val="20"/>
                <c:pt idx="0">
                  <c:v>6837.3609907092832</c:v>
                </c:pt>
                <c:pt idx="1">
                  <c:v>7000.1797435154667</c:v>
                </c:pt>
                <c:pt idx="2">
                  <c:v>7296.7818361325708</c:v>
                </c:pt>
                <c:pt idx="3">
                  <c:v>8284.2119858878177</c:v>
                </c:pt>
                <c:pt idx="4">
                  <c:v>8565.4848258026814</c:v>
                </c:pt>
                <c:pt idx="5">
                  <c:v>8286.1145208010512</c:v>
                </c:pt>
                <c:pt idx="6">
                  <c:v>8533.263584297616</c:v>
                </c:pt>
                <c:pt idx="7">
                  <c:v>7597.7456946965067</c:v>
                </c:pt>
                <c:pt idx="8">
                  <c:v>6598.8290547028882</c:v>
                </c:pt>
                <c:pt idx="9">
                  <c:v>5533.5639661755013</c:v>
                </c:pt>
                <c:pt idx="10">
                  <c:v>4398.8811725973601</c:v>
                </c:pt>
                <c:pt idx="11">
                  <c:v>3860.8367441635642</c:v>
                </c:pt>
                <c:pt idx="12">
                  <c:v>3286.7824903058122</c:v>
                </c:pt>
                <c:pt idx="13">
                  <c:v>3384.8170048369325</c:v>
                </c:pt>
                <c:pt idx="14">
                  <c:v>3485.7755844887884</c:v>
                </c:pt>
                <c:pt idx="15">
                  <c:v>3589.7454450432051</c:v>
                </c:pt>
                <c:pt idx="16">
                  <c:v>3696.816403657921</c:v>
                </c:pt>
                <c:pt idx="17">
                  <c:v>3807.0809564575698</c:v>
                </c:pt>
                <c:pt idx="18">
                  <c:v>3920.6343584389283</c:v>
                </c:pt>
                <c:pt idx="19">
                  <c:v>4037.5747057595186</c:v>
                </c:pt>
              </c:numCache>
            </c:numRef>
          </c:yVal>
          <c:smooth val="0"/>
          <c:extLst>
            <c:ext xmlns:c16="http://schemas.microsoft.com/office/drawing/2014/chart" uri="{C3380CC4-5D6E-409C-BE32-E72D297353CC}">
              <c16:uniqueId val="{00000002-B56A-4064-A7D6-BA195085BEC1}"/>
            </c:ext>
          </c:extLst>
        </c:ser>
        <c:ser>
          <c:idx val="5"/>
          <c:order val="3"/>
          <c:tx>
            <c:strRef>
              <c:f>'Bases de proyeccion 3A'!$A$36</c:f>
              <c:strCache>
                <c:ptCount val="1"/>
                <c:pt idx="0">
                  <c:v>Escenario ambicioso</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'Bases de proyeccion 3A'!$B$30:$U$30</c:f>
              <c:numCache>
                <c:formatCode>General</c:formatCode>
                <c:ptCount val="20"/>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pt idx="16">
                  <c:v>2029</c:v>
                </c:pt>
                <c:pt idx="17">
                  <c:v>2030</c:v>
                </c:pt>
                <c:pt idx="18">
                  <c:v>2031</c:v>
                </c:pt>
                <c:pt idx="19">
                  <c:v>2032</c:v>
                </c:pt>
              </c:numCache>
            </c:numRef>
          </c:xVal>
          <c:yVal>
            <c:numRef>
              <c:f>'Bases de proyeccion 3A'!$B$36:$U$36</c:f>
              <c:numCache>
                <c:formatCode>#,##0</c:formatCode>
                <c:ptCount val="20"/>
                <c:pt idx="0">
                  <c:v>6837.3609907092832</c:v>
                </c:pt>
                <c:pt idx="1">
                  <c:v>7000.1797435154667</c:v>
                </c:pt>
                <c:pt idx="2">
                  <c:v>7296.7818361325708</c:v>
                </c:pt>
                <c:pt idx="3">
                  <c:v>8284.2119858878177</c:v>
                </c:pt>
                <c:pt idx="4">
                  <c:v>8565.4848258026814</c:v>
                </c:pt>
                <c:pt idx="5">
                  <c:v>8286.1145208010512</c:v>
                </c:pt>
                <c:pt idx="6">
                  <c:v>8533.263584297616</c:v>
                </c:pt>
                <c:pt idx="7">
                  <c:v>6085.4464057715923</c:v>
                </c:pt>
                <c:pt idx="8">
                  <c:v>3484.0160942142411</c:v>
                </c:pt>
                <c:pt idx="9">
                  <c:v>721.98672917640533</c:v>
                </c:pt>
                <c:pt idx="10">
                  <c:v>-2207.9076854693308</c:v>
                </c:pt>
                <c:pt idx="11">
                  <c:v>-3793.4932145795951</c:v>
                </c:pt>
                <c:pt idx="12">
                  <c:v>-5471.7006772168888</c:v>
                </c:pt>
                <c:pt idx="13">
                  <c:v>-5634.9045159657826</c:v>
                </c:pt>
                <c:pt idx="14">
                  <c:v>-5802.9762183924677</c:v>
                </c:pt>
                <c:pt idx="15">
                  <c:v>-5976.0609777532281</c:v>
                </c:pt>
                <c:pt idx="16">
                  <c:v>-6154.3083179682799</c:v>
                </c:pt>
                <c:pt idx="17">
                  <c:v>-6337.8722227920271</c:v>
                </c:pt>
                <c:pt idx="18">
                  <c:v>-6526.911268836071</c:v>
                </c:pt>
                <c:pt idx="19">
                  <c:v>-6721.5887625598843</c:v>
                </c:pt>
              </c:numCache>
            </c:numRef>
          </c:yVal>
          <c:smooth val="0"/>
          <c:extLst>
            <c:ext xmlns:c16="http://schemas.microsoft.com/office/drawing/2014/chart" uri="{C3380CC4-5D6E-409C-BE32-E72D297353CC}">
              <c16:uniqueId val="{00000003-B56A-4064-A7D6-BA195085BEC1}"/>
            </c:ext>
          </c:extLst>
        </c:ser>
        <c:ser>
          <c:idx val="0"/>
          <c:order val="4"/>
          <c:spPr>
            <a:ln w="19050" cap="rnd">
              <a:solidFill>
                <a:schemeClr val="accent1"/>
              </a:solidFill>
              <a:round/>
            </a:ln>
            <a:effectLst/>
          </c:spPr>
          <c:marker>
            <c:symbol val="circle"/>
            <c:size val="5"/>
            <c:spPr>
              <a:solidFill>
                <a:schemeClr val="accent1"/>
              </a:solidFill>
              <a:ln w="9525">
                <a:solidFill>
                  <a:schemeClr val="accent1"/>
                </a:solidFill>
              </a:ln>
              <a:effectLst/>
            </c:spPr>
          </c:marker>
          <c:dPt>
            <c:idx val="1"/>
            <c:marker>
              <c:symbol val="circle"/>
              <c:size val="5"/>
              <c:spPr>
                <a:solidFill>
                  <a:schemeClr val="accent1"/>
                </a:solidFill>
                <a:ln w="9525">
                  <a:solidFill>
                    <a:schemeClr val="accent1"/>
                  </a:solidFill>
                </a:ln>
                <a:effectLst/>
              </c:spPr>
            </c:marker>
            <c:bubble3D val="0"/>
            <c:spPr>
              <a:ln w="19050" cap="rnd">
                <a:solidFill>
                  <a:schemeClr val="tx1"/>
                </a:solidFill>
                <a:round/>
              </a:ln>
              <a:effectLst/>
            </c:spPr>
            <c:extLst>
              <c:ext xmlns:c16="http://schemas.microsoft.com/office/drawing/2014/chart" uri="{C3380CC4-5D6E-409C-BE32-E72D297353CC}">
                <c16:uniqueId val="{00000005-B56A-4064-A7D6-BA195085BEC1}"/>
              </c:ext>
            </c:extLst>
          </c:dPt>
          <c:xVal>
            <c:numRef>
              <c:f>'Bases de proyeccion 3A'!$O$56:$O$57</c:f>
              <c:numCache>
                <c:formatCode>General</c:formatCode>
                <c:ptCount val="2"/>
                <c:pt idx="0">
                  <c:v>2009</c:v>
                </c:pt>
                <c:pt idx="1">
                  <c:v>2035</c:v>
                </c:pt>
              </c:numCache>
            </c:numRef>
          </c:xVal>
          <c:yVal>
            <c:numRef>
              <c:f>'Bases de proyeccion 3A'!$P$56:$P$57</c:f>
              <c:numCache>
                <c:formatCode>General</c:formatCode>
                <c:ptCount val="2"/>
                <c:pt idx="0">
                  <c:v>0</c:v>
                </c:pt>
                <c:pt idx="1">
                  <c:v>0</c:v>
                </c:pt>
              </c:numCache>
            </c:numRef>
          </c:yVal>
          <c:smooth val="0"/>
          <c:extLst>
            <c:ext xmlns:c16="http://schemas.microsoft.com/office/drawing/2014/chart" uri="{C3380CC4-5D6E-409C-BE32-E72D297353CC}">
              <c16:uniqueId val="{00000006-B56A-4064-A7D6-BA195085BEC1}"/>
            </c:ext>
          </c:extLst>
        </c:ser>
        <c:dLbls>
          <c:showLegendKey val="0"/>
          <c:showVal val="0"/>
          <c:showCatName val="0"/>
          <c:showSerName val="0"/>
          <c:showPercent val="0"/>
          <c:showBubbleSize val="0"/>
        </c:dLbls>
        <c:axId val="498014760"/>
        <c:axId val="498018368"/>
      </c:scatterChart>
      <c:valAx>
        <c:axId val="498014760"/>
        <c:scaling>
          <c:orientation val="minMax"/>
          <c:max val="2030"/>
          <c:min val="201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Año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8018368"/>
        <c:crossesAt val="-10000"/>
        <c:crossBetween val="midCat"/>
      </c:valAx>
      <c:valAx>
        <c:axId val="498018368"/>
        <c:scaling>
          <c:orientation val="minMax"/>
          <c:max val="15000"/>
          <c:min val="-1000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Emisiones de GEI (Gg CO</a:t>
                </a:r>
                <a:r>
                  <a:rPr lang="en-US" baseline="-25000"/>
                  <a:t>2</a:t>
                </a:r>
                <a:r>
                  <a:rPr lang="en-US"/>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8014760"/>
        <c:crosses val="autoZero"/>
        <c:crossBetween val="midCat"/>
      </c:valAx>
      <c:spPr>
        <a:noFill/>
        <a:ln>
          <a:noFill/>
        </a:ln>
        <a:effectLst/>
      </c:spPr>
    </c:plotArea>
    <c:legend>
      <c:legendPos val="b"/>
      <c:legendEntry>
        <c:idx val="4"/>
        <c:delete val="1"/>
      </c:legendEntry>
      <c:layout>
        <c:manualLayout>
          <c:xMode val="edge"/>
          <c:yMode val="edge"/>
          <c:x val="4.0179133858267713E-2"/>
          <c:y val="0.82291557305336838"/>
          <c:w val="0.92241951006124234"/>
          <c:h val="0.149306649168853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30</xdr:col>
      <xdr:colOff>335280</xdr:colOff>
      <xdr:row>3</xdr:row>
      <xdr:rowOff>102870</xdr:rowOff>
    </xdr:from>
    <xdr:to>
      <xdr:col>37</xdr:col>
      <xdr:colOff>426720</xdr:colOff>
      <xdr:row>17</xdr:row>
      <xdr:rowOff>102870</xdr:rowOff>
    </xdr:to>
    <xdr:graphicFrame macro="">
      <xdr:nvGraphicFramePr>
        <xdr:cNvPr id="2" name="Chart 1">
          <a:extLst>
            <a:ext uri="{FF2B5EF4-FFF2-40B4-BE49-F238E27FC236}">
              <a16:creationId xmlns:a16="http://schemas.microsoft.com/office/drawing/2014/main" id="{E55B6F1D-29CA-493E-9E3A-A191528FA3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304800</xdr:colOff>
      <xdr:row>20</xdr:row>
      <xdr:rowOff>80010</xdr:rowOff>
    </xdr:from>
    <xdr:to>
      <xdr:col>7</xdr:col>
      <xdr:colOff>563880</xdr:colOff>
      <xdr:row>35</xdr:row>
      <xdr:rowOff>80010</xdr:rowOff>
    </xdr:to>
    <xdr:graphicFrame macro="">
      <xdr:nvGraphicFramePr>
        <xdr:cNvPr id="3" name="Chart 2">
          <a:extLst>
            <a:ext uri="{FF2B5EF4-FFF2-40B4-BE49-F238E27FC236}">
              <a16:creationId xmlns:a16="http://schemas.microsoft.com/office/drawing/2014/main" id="{1638036D-FE6C-475F-A93E-8A0ED7AA57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41910</xdr:colOff>
      <xdr:row>79</xdr:row>
      <xdr:rowOff>43180</xdr:rowOff>
    </xdr:from>
    <xdr:to>
      <xdr:col>13</xdr:col>
      <xdr:colOff>688340</xdr:colOff>
      <xdr:row>97</xdr:row>
      <xdr:rowOff>162560</xdr:rowOff>
    </xdr:to>
    <xdr:graphicFrame macro="">
      <xdr:nvGraphicFramePr>
        <xdr:cNvPr id="2" name="Gráfico 1">
          <a:extLst>
            <a:ext uri="{FF2B5EF4-FFF2-40B4-BE49-F238E27FC236}">
              <a16:creationId xmlns:a16="http://schemas.microsoft.com/office/drawing/2014/main" id="{4DC81775-D53D-724E-A0E6-AAF610F717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628650</xdr:colOff>
      <xdr:row>6</xdr:row>
      <xdr:rowOff>180975</xdr:rowOff>
    </xdr:from>
    <xdr:to>
      <xdr:col>11</xdr:col>
      <xdr:colOff>381000</xdr:colOff>
      <xdr:row>21</xdr:row>
      <xdr:rowOff>66675</xdr:rowOff>
    </xdr:to>
    <xdr:graphicFrame macro="">
      <xdr:nvGraphicFramePr>
        <xdr:cNvPr id="2" name="Chart 1">
          <a:extLst>
            <a:ext uri="{FF2B5EF4-FFF2-40B4-BE49-F238E27FC236}">
              <a16:creationId xmlns:a16="http://schemas.microsoft.com/office/drawing/2014/main" id="{D9306414-F60B-47B0-AB92-18EC03977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59</xdr:row>
      <xdr:rowOff>0</xdr:rowOff>
    </xdr:from>
    <xdr:to>
      <xdr:col>19</xdr:col>
      <xdr:colOff>657225</xdr:colOff>
      <xdr:row>72</xdr:row>
      <xdr:rowOff>38100</xdr:rowOff>
    </xdr:to>
    <xdr:graphicFrame macro="">
      <xdr:nvGraphicFramePr>
        <xdr:cNvPr id="4" name="Chart 3">
          <a:extLst>
            <a:ext uri="{FF2B5EF4-FFF2-40B4-BE49-F238E27FC236}">
              <a16:creationId xmlns:a16="http://schemas.microsoft.com/office/drawing/2014/main" id="{62AA0A1F-DDFA-4A29-B379-0868F7D27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isa/Desktop/AKR/PECC%20Copy/00%20Comentarios%2020200623/00%20Comparacion%20PRODESEN%202019%20vs%202020/02%20Linea%20base%20para%20escenarios%203%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atalGEI_Chihuahua13-17"/>
      <sheetName val="Tabla Resumen Prioritarias"/>
      <sheetName val="Bases de proyeccion 1A1a"/>
      <sheetName val="Bases de proyeccion 1A3b"/>
      <sheetName val="Bases de proyeccion 3A"/>
      <sheetName val="Bases de proyeccion 1A2"/>
      <sheetName val="Bases de proyeccion 3C4"/>
      <sheetName val="Bases de proyeccion 1A4a y 1A4b"/>
    </sheetNames>
    <sheetDataSet>
      <sheetData sheetId="0"/>
      <sheetData sheetId="1">
        <row r="31">
          <cell r="A31" t="str">
            <v>3A2a Bovinos</v>
          </cell>
        </row>
        <row r="32">
          <cell r="A32" t="str">
            <v>3A1a Bovino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b.mx/siap/documentos/poblacion-ganadera-136762?idiom=es" TargetMode="External"/><Relationship Id="rId1" Type="http://schemas.openxmlformats.org/officeDocument/2006/relationships/hyperlink" Target="https://www.gob.mx/cms/uploads/attachment/file/412563/Bovino_carne_2017.pdf"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75473-D912-4321-88C6-C026046ACF09}">
  <dimension ref="A1:P74"/>
  <sheetViews>
    <sheetView workbookViewId="0">
      <selection activeCell="C34" sqref="C34"/>
    </sheetView>
  </sheetViews>
  <sheetFormatPr defaultColWidth="11.5703125" defaultRowHeight="15"/>
  <cols>
    <col min="2" max="2" width="13.42578125" bestFit="1" customWidth="1"/>
    <col min="3" max="3" width="15.42578125" customWidth="1"/>
    <col min="5" max="5" width="12.28515625" bestFit="1" customWidth="1"/>
  </cols>
  <sheetData>
    <row r="1" spans="1:16">
      <c r="A1" t="s">
        <v>11</v>
      </c>
      <c r="B1" t="s">
        <v>0</v>
      </c>
      <c r="C1" s="3" t="s">
        <v>1</v>
      </c>
      <c r="D1" s="3" t="s">
        <v>2</v>
      </c>
      <c r="E1" s="3" t="s">
        <v>3</v>
      </c>
      <c r="F1" s="3" t="s">
        <v>4</v>
      </c>
      <c r="G1" s="3" t="s">
        <v>5</v>
      </c>
      <c r="H1" s="3" t="s">
        <v>6</v>
      </c>
      <c r="I1" s="3" t="s">
        <v>8</v>
      </c>
      <c r="J1" s="3" t="s">
        <v>74</v>
      </c>
      <c r="K1" s="3" t="s">
        <v>396</v>
      </c>
      <c r="L1" s="3" t="s">
        <v>397</v>
      </c>
    </row>
    <row r="2" spans="1:16">
      <c r="A2">
        <v>2013</v>
      </c>
      <c r="B2" s="2">
        <v>1676947</v>
      </c>
      <c r="C2" s="2">
        <v>258069</v>
      </c>
      <c r="D2" s="1">
        <v>198198</v>
      </c>
      <c r="E2" s="1">
        <v>185186</v>
      </c>
      <c r="F2" s="1">
        <v>153569</v>
      </c>
      <c r="G2" s="1">
        <v>399890</v>
      </c>
      <c r="H2" s="1">
        <v>429644</v>
      </c>
      <c r="I2" s="1">
        <v>146499</v>
      </c>
      <c r="J2" s="109">
        <v>65138</v>
      </c>
      <c r="K2" s="109">
        <v>4610.5</v>
      </c>
      <c r="L2" s="109">
        <v>9784</v>
      </c>
    </row>
    <row r="3" spans="1:16">
      <c r="A3">
        <v>2014</v>
      </c>
      <c r="B3" s="2">
        <v>1708423</v>
      </c>
      <c r="C3" s="2">
        <v>269940</v>
      </c>
      <c r="D3" s="2">
        <v>148293</v>
      </c>
      <c r="E3" s="2">
        <v>190154</v>
      </c>
      <c r="F3" s="2">
        <v>153900</v>
      </c>
      <c r="G3" s="2">
        <v>398542</v>
      </c>
      <c r="H3" s="2">
        <v>527988</v>
      </c>
      <c r="I3" s="2">
        <v>184610</v>
      </c>
      <c r="J3" s="109">
        <v>63863</v>
      </c>
      <c r="K3" s="109">
        <v>4247.75</v>
      </c>
      <c r="L3" s="109">
        <v>9299.5</v>
      </c>
    </row>
    <row r="4" spans="1:16">
      <c r="A4">
        <v>2015</v>
      </c>
      <c r="B4" s="2">
        <v>1804348</v>
      </c>
      <c r="C4" s="2">
        <v>276202</v>
      </c>
      <c r="D4" s="2">
        <v>155439</v>
      </c>
      <c r="E4" s="2">
        <v>185902</v>
      </c>
      <c r="F4" s="2">
        <v>152375</v>
      </c>
      <c r="G4" s="2">
        <v>421868</v>
      </c>
      <c r="H4" s="2">
        <v>576019</v>
      </c>
      <c r="I4" s="2">
        <v>256234</v>
      </c>
      <c r="J4" s="109">
        <v>64500.5</v>
      </c>
      <c r="K4" s="109">
        <v>4429.125</v>
      </c>
      <c r="L4" s="109">
        <v>9541.75</v>
      </c>
    </row>
    <row r="5" spans="1:16">
      <c r="A5">
        <v>2016</v>
      </c>
      <c r="B5" s="2">
        <v>2054634</v>
      </c>
      <c r="C5" s="2">
        <v>275285</v>
      </c>
      <c r="D5" s="2">
        <v>147650</v>
      </c>
      <c r="E5" s="2">
        <v>185741</v>
      </c>
      <c r="F5" s="2">
        <v>151601</v>
      </c>
      <c r="G5" s="2">
        <v>441718</v>
      </c>
      <c r="H5" s="2">
        <v>616823</v>
      </c>
      <c r="I5" s="2">
        <v>180655</v>
      </c>
      <c r="J5" s="109">
        <v>64181.75</v>
      </c>
      <c r="K5" s="109">
        <v>4338.4375</v>
      </c>
      <c r="L5" s="109">
        <v>9420.625</v>
      </c>
    </row>
    <row r="6" spans="1:16">
      <c r="A6">
        <v>2017</v>
      </c>
      <c r="B6" s="2">
        <v>2103645</v>
      </c>
      <c r="C6" s="2">
        <v>284766</v>
      </c>
      <c r="D6" s="2">
        <v>152806</v>
      </c>
      <c r="E6" s="2">
        <v>187575</v>
      </c>
      <c r="F6" s="2">
        <v>149840</v>
      </c>
      <c r="G6" s="2">
        <v>412612</v>
      </c>
      <c r="H6" s="2">
        <v>632513</v>
      </c>
      <c r="I6" s="2">
        <v>108420</v>
      </c>
      <c r="J6" s="109">
        <v>64341.125</v>
      </c>
      <c r="K6" s="109">
        <v>4383.78125</v>
      </c>
      <c r="L6" s="109">
        <v>9481.1875</v>
      </c>
    </row>
    <row r="7" spans="1:16">
      <c r="A7" t="s">
        <v>14</v>
      </c>
      <c r="B7" s="1">
        <f>B3+B4+B5+B6</f>
        <v>7671050</v>
      </c>
      <c r="C7" s="1">
        <f t="shared" ref="C7:I7" si="0">C3+C4+C5+C6</f>
        <v>1106193</v>
      </c>
      <c r="D7" s="1">
        <f t="shared" si="0"/>
        <v>604188</v>
      </c>
      <c r="E7" s="1">
        <f t="shared" si="0"/>
        <v>749372</v>
      </c>
      <c r="F7" s="1">
        <f t="shared" si="0"/>
        <v>607716</v>
      </c>
      <c r="G7" s="1">
        <f t="shared" si="0"/>
        <v>1674740</v>
      </c>
      <c r="H7" s="1">
        <f t="shared" si="0"/>
        <v>2353343</v>
      </c>
      <c r="I7" s="1">
        <f t="shared" si="0"/>
        <v>729919</v>
      </c>
    </row>
    <row r="9" spans="1:16">
      <c r="C9" s="1">
        <f>B6+C6</f>
        <v>2388411</v>
      </c>
    </row>
    <row r="10" spans="1:16">
      <c r="A10" t="s">
        <v>15</v>
      </c>
    </row>
    <row r="12" spans="1:16" ht="45">
      <c r="A12" t="s">
        <v>11</v>
      </c>
      <c r="B12" s="86" t="s">
        <v>323</v>
      </c>
      <c r="C12" s="3" t="s">
        <v>21</v>
      </c>
      <c r="D12" s="3" t="s">
        <v>2</v>
      </c>
      <c r="E12" s="3" t="s">
        <v>3</v>
      </c>
      <c r="F12" s="3" t="s">
        <v>4</v>
      </c>
      <c r="G12" s="3" t="s">
        <v>5</v>
      </c>
      <c r="H12" s="3" t="s">
        <v>6</v>
      </c>
      <c r="I12" s="3" t="s">
        <v>8</v>
      </c>
    </row>
    <row r="13" spans="1:16">
      <c r="A13">
        <v>2013</v>
      </c>
      <c r="B13" s="4">
        <v>74908.009999999995</v>
      </c>
      <c r="C13" s="4">
        <v>980756.86</v>
      </c>
      <c r="D13" s="106">
        <v>5396.0339999999997</v>
      </c>
      <c r="L13" s="3">
        <v>2014</v>
      </c>
      <c r="M13" s="3" t="s">
        <v>12</v>
      </c>
      <c r="O13" s="3">
        <v>2013</v>
      </c>
      <c r="P13" s="3"/>
    </row>
    <row r="14" spans="1:16">
      <c r="A14">
        <v>2014</v>
      </c>
      <c r="B14" s="4">
        <v>72387.31</v>
      </c>
      <c r="C14" s="4">
        <v>1007345.98</v>
      </c>
      <c r="D14" s="106">
        <v>6128.5730000000003</v>
      </c>
      <c r="E14" s="3"/>
      <c r="G14" s="3"/>
      <c r="H14" s="3"/>
      <c r="L14" s="3" t="s">
        <v>7</v>
      </c>
      <c r="M14" s="3"/>
      <c r="O14" s="3" t="s">
        <v>7</v>
      </c>
      <c r="P14" s="3"/>
    </row>
    <row r="15" spans="1:16">
      <c r="A15">
        <v>2015</v>
      </c>
      <c r="B15" s="4">
        <v>71875.740000000005</v>
      </c>
      <c r="C15" s="4">
        <v>1034226.87</v>
      </c>
      <c r="D15" s="106">
        <v>6469.2879999999996</v>
      </c>
      <c r="E15" s="3"/>
      <c r="L15" s="3" t="s">
        <v>12</v>
      </c>
      <c r="M15" s="3"/>
      <c r="O15" s="3" t="s">
        <v>322</v>
      </c>
      <c r="P15" s="3"/>
    </row>
    <row r="16" spans="1:16">
      <c r="A16">
        <v>2016</v>
      </c>
      <c r="B16" s="4">
        <v>76049.97</v>
      </c>
      <c r="C16" s="4">
        <v>1051731.3700000001</v>
      </c>
      <c r="D16" s="106">
        <v>6754.2089999999998</v>
      </c>
      <c r="E16" s="3"/>
      <c r="L16" s="3" t="s">
        <v>9</v>
      </c>
      <c r="M16" s="3"/>
      <c r="O16" s="3" t="s">
        <v>9</v>
      </c>
    </row>
    <row r="17" spans="1:16" ht="30">
      <c r="A17">
        <v>2017</v>
      </c>
      <c r="B17" s="4">
        <v>78237.37</v>
      </c>
      <c r="C17" s="4">
        <v>1095174.6399999999</v>
      </c>
      <c r="D17" s="106">
        <v>7054.85</v>
      </c>
      <c r="L17" s="3" t="s">
        <v>13</v>
      </c>
      <c r="M17" s="3"/>
      <c r="O17" s="3">
        <v>2014</v>
      </c>
      <c r="P17" s="3"/>
    </row>
    <row r="18" spans="1:16">
      <c r="A18" t="s">
        <v>14</v>
      </c>
      <c r="B18" s="87">
        <f>SUM(B13:B17)</f>
        <v>373458.4</v>
      </c>
      <c r="C18" s="4">
        <v>5169235.72</v>
      </c>
      <c r="E18" s="3"/>
      <c r="L18" s="3" t="s">
        <v>9</v>
      </c>
      <c r="M18" s="3">
        <v>98.39</v>
      </c>
      <c r="O18" s="3" t="s">
        <v>7</v>
      </c>
      <c r="P18" s="3"/>
    </row>
    <row r="19" spans="1:16">
      <c r="E19" s="3"/>
      <c r="L19" s="3">
        <v>2015</v>
      </c>
      <c r="M19" s="3"/>
      <c r="O19" s="3" t="s">
        <v>322</v>
      </c>
      <c r="P19" s="3"/>
    </row>
    <row r="20" spans="1:16">
      <c r="E20" s="3"/>
      <c r="L20" s="3" t="s">
        <v>7</v>
      </c>
      <c r="M20" s="3"/>
      <c r="O20" s="3" t="s">
        <v>9</v>
      </c>
    </row>
    <row r="21" spans="1:16">
      <c r="L21" s="3" t="s">
        <v>12</v>
      </c>
      <c r="M21" s="3"/>
      <c r="O21" s="3">
        <v>2015</v>
      </c>
      <c r="P21" s="3"/>
    </row>
    <row r="22" spans="1:16">
      <c r="A22" t="s">
        <v>240</v>
      </c>
      <c r="C22" t="s">
        <v>241</v>
      </c>
      <c r="E22" s="3"/>
      <c r="L22" s="3" t="s">
        <v>9</v>
      </c>
      <c r="M22" s="3"/>
      <c r="O22" s="3" t="s">
        <v>7</v>
      </c>
      <c r="P22" s="3"/>
    </row>
    <row r="23" spans="1:16" ht="30">
      <c r="A23" t="s">
        <v>89</v>
      </c>
      <c r="D23" t="s">
        <v>242</v>
      </c>
      <c r="E23" s="3"/>
      <c r="L23" s="3" t="s">
        <v>13</v>
      </c>
      <c r="M23" s="3"/>
      <c r="O23" s="3" t="s">
        <v>322</v>
      </c>
      <c r="P23" s="3"/>
    </row>
    <row r="24" spans="1:16">
      <c r="A24">
        <v>9</v>
      </c>
      <c r="B24">
        <v>-51.226999999999997</v>
      </c>
      <c r="C24">
        <v>206.72</v>
      </c>
      <c r="D24">
        <v>94.162776576797484</v>
      </c>
      <c r="E24" s="3"/>
      <c r="L24" s="3" t="s">
        <v>9</v>
      </c>
      <c r="M24" s="3">
        <v>98.54</v>
      </c>
      <c r="O24" s="3" t="s">
        <v>9</v>
      </c>
    </row>
    <row r="25" spans="1:16">
      <c r="A25">
        <v>10</v>
      </c>
      <c r="B25">
        <v>-51.226999999999997</v>
      </c>
      <c r="C25">
        <v>206.72</v>
      </c>
      <c r="D25">
        <v>88.765473441194018</v>
      </c>
      <c r="E25" s="3"/>
      <c r="L25" s="3">
        <v>2016</v>
      </c>
      <c r="M25" s="3"/>
      <c r="O25" s="3">
        <v>2016</v>
      </c>
      <c r="P25" s="3"/>
    </row>
    <row r="26" spans="1:16">
      <c r="A26">
        <v>11</v>
      </c>
      <c r="B26">
        <v>-51.226999999999997</v>
      </c>
      <c r="C26">
        <v>206.72</v>
      </c>
      <c r="D26">
        <v>83.883018860357879</v>
      </c>
      <c r="E26" s="3"/>
      <c r="L26" s="3" t="s">
        <v>7</v>
      </c>
      <c r="M26" s="3"/>
      <c r="O26" s="3" t="s">
        <v>7</v>
      </c>
      <c r="P26" s="3"/>
    </row>
    <row r="27" spans="1:16">
      <c r="A27">
        <v>12</v>
      </c>
      <c r="B27">
        <v>-51.226999999999997</v>
      </c>
      <c r="C27">
        <v>206.72</v>
      </c>
      <c r="D27">
        <v>79.425687051310106</v>
      </c>
      <c r="E27" s="3"/>
      <c r="L27" s="3" t="s">
        <v>12</v>
      </c>
      <c r="M27" s="3"/>
      <c r="O27" s="3" t="s">
        <v>322</v>
      </c>
      <c r="P27" s="3"/>
    </row>
    <row r="28" spans="1:16">
      <c r="A28">
        <v>13</v>
      </c>
      <c r="B28">
        <v>-51.226999999999997</v>
      </c>
      <c r="C28">
        <v>206.72</v>
      </c>
      <c r="D28">
        <v>75.325339265317865</v>
      </c>
      <c r="E28" s="3"/>
      <c r="L28" s="3" t="s">
        <v>9</v>
      </c>
      <c r="M28" s="3"/>
      <c r="O28" s="3" t="s">
        <v>9</v>
      </c>
    </row>
    <row r="29" spans="1:16" ht="30">
      <c r="A29">
        <v>14</v>
      </c>
      <c r="B29">
        <v>-51.226999999999997</v>
      </c>
      <c r="C29">
        <v>206.72</v>
      </c>
      <c r="D29">
        <v>71.529010175799158</v>
      </c>
      <c r="L29" s="3" t="s">
        <v>13</v>
      </c>
      <c r="M29" s="3"/>
      <c r="O29" s="3">
        <v>2017</v>
      </c>
      <c r="P29" s="3"/>
    </row>
    <row r="30" spans="1:16">
      <c r="A30">
        <v>15</v>
      </c>
      <c r="B30">
        <v>-51.226999999999997</v>
      </c>
      <c r="C30">
        <v>206.72</v>
      </c>
      <c r="D30">
        <v>67.994712348137085</v>
      </c>
      <c r="E30" s="3"/>
      <c r="L30" s="3" t="s">
        <v>9</v>
      </c>
      <c r="M30" s="3">
        <v>98.28</v>
      </c>
      <c r="O30" s="3" t="s">
        <v>7</v>
      </c>
      <c r="P30" s="3"/>
    </row>
    <row r="31" spans="1:16">
      <c r="A31">
        <v>16</v>
      </c>
      <c r="B31">
        <v>-51.226999999999997</v>
      </c>
      <c r="C31">
        <v>206.72</v>
      </c>
      <c r="D31">
        <v>64.688597525822729</v>
      </c>
      <c r="E31" s="3"/>
      <c r="L31" s="3">
        <v>2017</v>
      </c>
      <c r="M31" s="3"/>
      <c r="O31" s="3" t="s">
        <v>322</v>
      </c>
      <c r="P31" s="3"/>
    </row>
    <row r="32" spans="1:16">
      <c r="A32">
        <v>17</v>
      </c>
      <c r="B32">
        <v>-51.226999999999997</v>
      </c>
      <c r="C32">
        <v>206.72</v>
      </c>
      <c r="D32">
        <v>61.582980024032224</v>
      </c>
      <c r="E32" s="3"/>
      <c r="L32" s="3" t="s">
        <v>7</v>
      </c>
      <c r="M32" s="3"/>
      <c r="O32" s="3" t="s">
        <v>9</v>
      </c>
    </row>
    <row r="33" spans="1:16">
      <c r="A33">
        <v>18</v>
      </c>
      <c r="B33">
        <v>-51.226999999999997</v>
      </c>
      <c r="C33">
        <v>206.72</v>
      </c>
      <c r="D33">
        <v>58.654925958253187</v>
      </c>
      <c r="L33" s="3" t="s">
        <v>12</v>
      </c>
      <c r="M33" s="3"/>
      <c r="O33" s="3" t="s">
        <v>10</v>
      </c>
      <c r="P33" s="4">
        <v>373458.41</v>
      </c>
    </row>
    <row r="34" spans="1:16">
      <c r="A34">
        <v>19</v>
      </c>
      <c r="B34">
        <v>-51.226999999999997</v>
      </c>
      <c r="C34">
        <v>206.72</v>
      </c>
      <c r="D34">
        <v>55.885224414240781</v>
      </c>
      <c r="L34" s="3" t="s">
        <v>9</v>
      </c>
      <c r="M34" s="3"/>
    </row>
    <row r="35" spans="1:16" ht="30">
      <c r="A35">
        <v>20</v>
      </c>
      <c r="B35">
        <v>-51.226999999999997</v>
      </c>
      <c r="C35">
        <v>206.72</v>
      </c>
      <c r="D35">
        <v>53.257622822649722</v>
      </c>
      <c r="L35" s="3" t="s">
        <v>13</v>
      </c>
      <c r="M35" s="3"/>
    </row>
    <row r="36" spans="1:16">
      <c r="A36">
        <v>21</v>
      </c>
      <c r="B36">
        <v>-51.226999999999997</v>
      </c>
      <c r="C36">
        <v>206.72</v>
      </c>
      <c r="D36">
        <v>50.758249082742225</v>
      </c>
      <c r="L36" s="3" t="s">
        <v>9</v>
      </c>
      <c r="M36" s="3">
        <v>98.86</v>
      </c>
    </row>
    <row r="37" spans="1:16">
      <c r="A37">
        <v>22</v>
      </c>
      <c r="B37">
        <v>-51.226999999999997</v>
      </c>
      <c r="C37">
        <v>206.72</v>
      </c>
      <c r="D37">
        <v>48.375168241813554</v>
      </c>
      <c r="L37" s="3" t="s">
        <v>10</v>
      </c>
      <c r="M37" s="3">
        <v>98.53</v>
      </c>
    </row>
    <row r="38" spans="1:16">
      <c r="A38">
        <v>23</v>
      </c>
      <c r="B38">
        <v>-51.226999999999997</v>
      </c>
      <c r="C38">
        <v>206.72</v>
      </c>
      <c r="D38">
        <v>46.098037800597467</v>
      </c>
    </row>
    <row r="39" spans="1:16">
      <c r="A39">
        <v>24</v>
      </c>
      <c r="B39">
        <v>-51.226999999999997</v>
      </c>
      <c r="C39">
        <v>206.72</v>
      </c>
      <c r="D39">
        <v>43.917836432765796</v>
      </c>
    </row>
    <row r="40" spans="1:16">
      <c r="A40">
        <v>25</v>
      </c>
      <c r="B40">
        <v>-51.226999999999997</v>
      </c>
      <c r="C40">
        <v>206.72</v>
      </c>
      <c r="D40">
        <v>41.826648119476687</v>
      </c>
    </row>
    <row r="41" spans="1:16">
      <c r="A41">
        <v>26</v>
      </c>
      <c r="B41">
        <v>-51.226999999999997</v>
      </c>
      <c r="C41">
        <v>206.72</v>
      </c>
      <c r="D41">
        <v>39.81748864677354</v>
      </c>
    </row>
    <row r="42" spans="1:16">
      <c r="A42">
        <v>27</v>
      </c>
      <c r="B42">
        <v>-51.226999999999997</v>
      </c>
      <c r="C42">
        <v>206.72</v>
      </c>
      <c r="D42">
        <v>37.884164865196254</v>
      </c>
    </row>
    <row r="43" spans="1:16">
      <c r="A43">
        <v>28</v>
      </c>
      <c r="B43">
        <v>-51.226999999999997</v>
      </c>
      <c r="C43">
        <v>206.72</v>
      </c>
      <c r="D43">
        <v>36.021159557254833</v>
      </c>
    </row>
    <row r="44" spans="1:16">
      <c r="A44">
        <v>29</v>
      </c>
      <c r="B44">
        <v>-51.226999999999997</v>
      </c>
      <c r="C44">
        <v>206.72</v>
      </c>
      <c r="D44">
        <v>34.223536517282895</v>
      </c>
    </row>
    <row r="45" spans="1:16">
      <c r="A45">
        <v>30</v>
      </c>
      <c r="B45">
        <v>-51.226999999999997</v>
      </c>
      <c r="C45">
        <v>206.72</v>
      </c>
      <c r="D45">
        <v>32.486861729592761</v>
      </c>
    </row>
    <row r="46" spans="1:16">
      <c r="A46">
        <v>31</v>
      </c>
      <c r="B46">
        <v>-51.226999999999997</v>
      </c>
      <c r="C46">
        <v>206.72</v>
      </c>
      <c r="D46">
        <v>30.807137475839426</v>
      </c>
    </row>
    <row r="47" spans="1:16">
      <c r="A47">
        <v>32</v>
      </c>
      <c r="B47">
        <v>-51.226999999999997</v>
      </c>
      <c r="C47">
        <v>206.72</v>
      </c>
      <c r="D47">
        <v>29.180746907278404</v>
      </c>
    </row>
    <row r="48" spans="1:16">
      <c r="A48">
        <v>33</v>
      </c>
      <c r="B48">
        <v>-51.226999999999997</v>
      </c>
      <c r="C48">
        <v>206.72</v>
      </c>
      <c r="D48">
        <v>27.604407148756621</v>
      </c>
    </row>
    <row r="49" spans="1:4">
      <c r="A49">
        <v>34</v>
      </c>
      <c r="B49">
        <v>-51.226999999999997</v>
      </c>
      <c r="C49">
        <v>206.72</v>
      </c>
      <c r="D49">
        <v>26.0751294054879</v>
      </c>
    </row>
    <row r="50" spans="1:4">
      <c r="A50">
        <v>35</v>
      </c>
      <c r="B50">
        <v>-51.226999999999997</v>
      </c>
      <c r="C50">
        <v>206.72</v>
      </c>
      <c r="D50">
        <v>24.590184854081826</v>
      </c>
    </row>
    <row r="51" spans="1:4">
      <c r="A51">
        <v>36</v>
      </c>
      <c r="B51">
        <v>-51.226999999999997</v>
      </c>
      <c r="C51">
        <v>206.72</v>
      </c>
      <c r="D51">
        <v>23.147075339708863</v>
      </c>
    </row>
    <row r="52" spans="1:4">
      <c r="A52">
        <v>37</v>
      </c>
      <c r="B52">
        <v>-51.226999999999997</v>
      </c>
      <c r="C52">
        <v>206.72</v>
      </c>
      <c r="D52">
        <v>21.743508088974323</v>
      </c>
    </row>
    <row r="53" spans="1:4">
      <c r="A53">
        <v>38</v>
      </c>
      <c r="B53">
        <v>-51.226999999999997</v>
      </c>
      <c r="C53">
        <v>206.72</v>
      </c>
      <c r="D53">
        <v>20.377373795696457</v>
      </c>
    </row>
    <row r="54" spans="1:4">
      <c r="A54">
        <v>39</v>
      </c>
      <c r="B54">
        <v>-51.226999999999997</v>
      </c>
      <c r="C54">
        <v>206.72</v>
      </c>
      <c r="D54">
        <v>19.046727553716607</v>
      </c>
    </row>
    <row r="55" spans="1:4">
      <c r="A55">
        <v>40</v>
      </c>
      <c r="B55">
        <v>-51.226999999999997</v>
      </c>
      <c r="C55">
        <v>206.72</v>
      </c>
      <c r="D55">
        <v>17.749772204105398</v>
      </c>
    </row>
    <row r="56" spans="1:4">
      <c r="A56">
        <v>41</v>
      </c>
      <c r="B56">
        <v>-51.226999999999997</v>
      </c>
      <c r="C56">
        <v>206.72</v>
      </c>
      <c r="D56">
        <v>16.484843738938423</v>
      </c>
    </row>
    <row r="57" spans="1:4">
      <c r="A57">
        <v>42</v>
      </c>
      <c r="B57">
        <v>-51.226999999999997</v>
      </c>
      <c r="C57">
        <v>206.72</v>
      </c>
      <c r="D57">
        <v>15.2503984641979</v>
      </c>
    </row>
    <row r="58" spans="1:4">
      <c r="A58">
        <v>43</v>
      </c>
      <c r="B58">
        <v>-51.226999999999997</v>
      </c>
      <c r="C58">
        <v>206.72</v>
      </c>
      <c r="D58">
        <v>14.045001673365903</v>
      </c>
    </row>
    <row r="59" spans="1:4">
      <c r="A59">
        <v>44</v>
      </c>
      <c r="B59">
        <v>-51.226999999999997</v>
      </c>
      <c r="C59">
        <v>206.72</v>
      </c>
      <c r="D59">
        <v>12.867317623269258</v>
      </c>
    </row>
    <row r="60" spans="1:4">
      <c r="A60">
        <v>45</v>
      </c>
      <c r="B60">
        <v>-51.226999999999997</v>
      </c>
      <c r="C60">
        <v>206.72</v>
      </c>
      <c r="D60">
        <v>11.716100636535856</v>
      </c>
    </row>
    <row r="61" spans="1:4">
      <c r="A61">
        <v>46</v>
      </c>
      <c r="B61">
        <v>-51.226999999999997</v>
      </c>
      <c r="C61">
        <v>206.72</v>
      </c>
      <c r="D61">
        <v>10.590187182053143</v>
      </c>
    </row>
    <row r="62" spans="1:4">
      <c r="A62">
        <v>47</v>
      </c>
      <c r="B62">
        <v>-51.226999999999997</v>
      </c>
      <c r="C62">
        <v>206.72</v>
      </c>
      <c r="D62">
        <v>9.4884888071988485</v>
      </c>
    </row>
    <row r="63" spans="1:4">
      <c r="A63">
        <v>48</v>
      </c>
      <c r="B63">
        <v>-51.226999999999997</v>
      </c>
      <c r="C63">
        <v>206.72</v>
      </c>
      <c r="D63">
        <v>8.4099858142214714</v>
      </c>
    </row>
    <row r="64" spans="1:4">
      <c r="A64">
        <v>49</v>
      </c>
      <c r="B64">
        <v>-51.226999999999997</v>
      </c>
      <c r="C64">
        <v>206.72</v>
      </c>
      <c r="D64">
        <v>7.3537215886869376</v>
      </c>
    </row>
    <row r="65" spans="1:4">
      <c r="A65">
        <v>50</v>
      </c>
      <c r="B65">
        <v>-51.226999999999997</v>
      </c>
      <c r="C65">
        <v>206.72</v>
      </c>
      <c r="D65">
        <v>6.3187975009323907</v>
      </c>
    </row>
    <row r="66" spans="1:4">
      <c r="A66">
        <v>51</v>
      </c>
      <c r="B66">
        <v>-51.226999999999997</v>
      </c>
      <c r="C66">
        <v>206.72</v>
      </c>
      <c r="D66">
        <v>5.3043683124309666</v>
      </c>
    </row>
    <row r="67" spans="1:4">
      <c r="A67">
        <v>52</v>
      </c>
      <c r="B67">
        <v>-51.226999999999997</v>
      </c>
      <c r="C67">
        <v>206.72</v>
      </c>
      <c r="D67">
        <v>4.3096380282292159</v>
      </c>
    </row>
    <row r="68" spans="1:4">
      <c r="A68">
        <v>53</v>
      </c>
      <c r="B68">
        <v>-51.226999999999997</v>
      </c>
      <c r="C68">
        <v>206.72</v>
      </c>
      <c r="D68">
        <v>3.3338561444654715</v>
      </c>
    </row>
    <row r="69" spans="1:4">
      <c r="A69">
        <v>54</v>
      </c>
      <c r="B69">
        <v>-51.226999999999997</v>
      </c>
      <c r="C69">
        <v>206.72</v>
      </c>
      <c r="D69">
        <v>2.3763142466519298</v>
      </c>
    </row>
    <row r="70" spans="1:4">
      <c r="A70">
        <v>55</v>
      </c>
      <c r="B70">
        <v>-51.226999999999997</v>
      </c>
      <c r="C70">
        <v>206.72</v>
      </c>
      <c r="D70">
        <v>1.436342920096223</v>
      </c>
    </row>
    <row r="71" spans="1:4">
      <c r="A71">
        <v>56</v>
      </c>
      <c r="B71">
        <v>-51.226999999999997</v>
      </c>
      <c r="C71">
        <v>206.72</v>
      </c>
      <c r="D71">
        <v>0.51330893871050876</v>
      </c>
    </row>
    <row r="72" spans="1:4">
      <c r="A72">
        <v>57</v>
      </c>
      <c r="B72">
        <v>-51.226999999999997</v>
      </c>
      <c r="C72">
        <v>206.72</v>
      </c>
      <c r="D72">
        <v>-0.39338729736050482</v>
      </c>
    </row>
    <row r="73" spans="1:4">
      <c r="A73">
        <v>58</v>
      </c>
      <c r="B73">
        <v>-51.226999999999997</v>
      </c>
      <c r="C73">
        <v>206.72</v>
      </c>
      <c r="D73">
        <v>-1.2843141012614012</v>
      </c>
    </row>
    <row r="74" spans="1:4">
      <c r="A74">
        <v>59</v>
      </c>
      <c r="B74">
        <v>-51.226999999999997</v>
      </c>
      <c r="C74">
        <v>206.72</v>
      </c>
      <c r="D74">
        <v>-2.1600106389582834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5067F-024B-44E6-BD1D-F07B15CD94D3}">
  <dimension ref="B3:O85"/>
  <sheetViews>
    <sheetView zoomScale="85" zoomScaleNormal="85" workbookViewId="0">
      <selection activeCell="I79" sqref="I79"/>
    </sheetView>
  </sheetViews>
  <sheetFormatPr defaultRowHeight="15"/>
  <cols>
    <col min="5" max="5" width="38.85546875" customWidth="1"/>
    <col min="6" max="6" width="15.140625" customWidth="1"/>
    <col min="7" max="9" width="16.140625" customWidth="1"/>
    <col min="11" max="11" width="16.140625" customWidth="1"/>
    <col min="12" max="12" width="4.85546875" customWidth="1"/>
    <col min="13" max="13" width="21" bestFit="1" customWidth="1"/>
    <col min="14" max="14" width="4.85546875" customWidth="1"/>
  </cols>
  <sheetData>
    <row r="3" spans="3:15">
      <c r="E3" s="132"/>
      <c r="F3" s="132"/>
      <c r="G3" s="132"/>
      <c r="H3" s="132"/>
      <c r="I3" s="132"/>
      <c r="J3" s="132"/>
      <c r="K3" s="132"/>
      <c r="L3" s="132"/>
      <c r="M3" s="132"/>
      <c r="N3" s="132"/>
      <c r="O3" s="132"/>
    </row>
    <row r="4" spans="3:15" ht="18">
      <c r="D4" s="225" t="s">
        <v>455</v>
      </c>
      <c r="E4" s="132" t="s">
        <v>539</v>
      </c>
      <c r="F4" s="132" t="s">
        <v>542</v>
      </c>
      <c r="G4" s="132">
        <v>10</v>
      </c>
      <c r="H4" s="132"/>
      <c r="I4" s="132"/>
      <c r="J4" s="132"/>
      <c r="K4" s="132"/>
      <c r="L4" s="132"/>
      <c r="M4" s="132"/>
      <c r="N4" s="132"/>
      <c r="O4" s="132"/>
    </row>
    <row r="5" spans="3:15">
      <c r="D5" s="225"/>
      <c r="E5" s="132"/>
      <c r="F5" s="132"/>
      <c r="G5" s="132"/>
      <c r="H5" s="132"/>
      <c r="I5" s="132"/>
      <c r="J5" s="132"/>
      <c r="K5" s="132"/>
      <c r="L5" s="132"/>
      <c r="M5" s="132"/>
      <c r="N5" s="132"/>
      <c r="O5" s="132"/>
    </row>
    <row r="6" spans="3:15">
      <c r="D6" s="225"/>
      <c r="E6" s="132"/>
      <c r="F6" s="132"/>
      <c r="G6" s="132"/>
      <c r="H6" s="132"/>
      <c r="I6" s="132"/>
      <c r="J6" s="132"/>
      <c r="K6" s="227">
        <v>2017</v>
      </c>
      <c r="L6" s="132"/>
      <c r="M6" s="132"/>
      <c r="N6" s="132"/>
      <c r="O6" s="132"/>
    </row>
    <row r="7" spans="3:15">
      <c r="D7" s="225"/>
      <c r="E7" s="132"/>
      <c r="F7" s="132"/>
      <c r="G7" s="238" t="s">
        <v>547</v>
      </c>
      <c r="H7" s="238" t="s">
        <v>548</v>
      </c>
      <c r="I7" s="238" t="s">
        <v>518</v>
      </c>
      <c r="J7" s="132"/>
      <c r="K7" s="238" t="s">
        <v>547</v>
      </c>
      <c r="L7" s="238" t="s">
        <v>588</v>
      </c>
      <c r="M7" s="238"/>
      <c r="N7" s="238"/>
      <c r="O7" s="132"/>
    </row>
    <row r="8" spans="3:15">
      <c r="D8" s="225"/>
      <c r="E8" s="132" t="s">
        <v>545</v>
      </c>
      <c r="F8" s="132" t="s">
        <v>559</v>
      </c>
      <c r="G8" s="132">
        <v>10000</v>
      </c>
      <c r="H8" s="132">
        <v>10000</v>
      </c>
      <c r="I8" s="132">
        <v>10000</v>
      </c>
      <c r="J8" s="132"/>
      <c r="K8" s="239">
        <f>K9/1000</f>
        <v>313443.10499999998</v>
      </c>
      <c r="L8" s="132"/>
      <c r="M8" s="242">
        <v>84806.297000000006</v>
      </c>
      <c r="N8" s="132"/>
      <c r="O8" s="132"/>
    </row>
    <row r="9" spans="3:15">
      <c r="D9" s="225"/>
      <c r="E9" s="132" t="s">
        <v>545</v>
      </c>
      <c r="F9" s="132" t="s">
        <v>560</v>
      </c>
      <c r="G9" s="132">
        <f>G8*1000</f>
        <v>10000000</v>
      </c>
      <c r="H9" s="132">
        <f t="shared" ref="H9:I9" si="0">H8*1000</f>
        <v>10000000</v>
      </c>
      <c r="I9" s="132">
        <f t="shared" si="0"/>
        <v>10000000</v>
      </c>
      <c r="J9" s="132"/>
      <c r="K9" s="239">
        <f>K11*K13</f>
        <v>313443105</v>
      </c>
      <c r="L9" s="132"/>
      <c r="M9" s="239">
        <f>1000*M8</f>
        <v>84806297</v>
      </c>
      <c r="N9" s="132"/>
      <c r="O9" s="132"/>
    </row>
    <row r="10" spans="3:15">
      <c r="C10" t="s">
        <v>563</v>
      </c>
      <c r="D10" t="s">
        <v>456</v>
      </c>
      <c r="E10" s="132" t="s">
        <v>545</v>
      </c>
      <c r="F10" s="132" t="s">
        <v>544</v>
      </c>
      <c r="G10" s="232">
        <v>67.525000000000006</v>
      </c>
      <c r="H10" s="232">
        <v>182.5</v>
      </c>
      <c r="I10" s="232">
        <v>821.25</v>
      </c>
      <c r="J10" s="132"/>
      <c r="K10" s="243"/>
      <c r="L10" s="132"/>
      <c r="M10" s="232">
        <f>G10</f>
        <v>67.525000000000006</v>
      </c>
      <c r="N10" s="132"/>
      <c r="O10" s="132"/>
    </row>
    <row r="11" spans="3:15">
      <c r="E11" s="227" t="s">
        <v>585</v>
      </c>
      <c r="F11" s="132" t="s">
        <v>586</v>
      </c>
      <c r="G11" s="245">
        <v>135.05000000000001</v>
      </c>
      <c r="H11" s="232">
        <f>H10/H15</f>
        <v>182.5</v>
      </c>
      <c r="I11" s="232">
        <f>I10/I15</f>
        <v>273.75</v>
      </c>
      <c r="J11" s="132"/>
      <c r="K11" s="248">
        <v>149</v>
      </c>
      <c r="L11" s="132"/>
      <c r="M11" s="232"/>
      <c r="N11" s="132"/>
      <c r="O11" s="132"/>
    </row>
    <row r="12" spans="3:15">
      <c r="E12" s="227" t="s">
        <v>611</v>
      </c>
      <c r="F12" s="132" t="s">
        <v>587</v>
      </c>
      <c r="G12" s="239">
        <f>G9/G11</f>
        <v>74046.649389115133</v>
      </c>
      <c r="H12" s="239">
        <f t="shared" ref="H12:I12" si="1">H9/H11</f>
        <v>54794.520547945205</v>
      </c>
      <c r="I12" s="239">
        <f t="shared" si="1"/>
        <v>36529.680365296801</v>
      </c>
      <c r="J12" s="132"/>
      <c r="K12" s="246">
        <v>284766</v>
      </c>
      <c r="L12" s="247" t="s">
        <v>459</v>
      </c>
      <c r="M12" s="239"/>
      <c r="N12" s="240"/>
      <c r="O12" s="132"/>
    </row>
    <row r="13" spans="3:15">
      <c r="E13" s="227" t="s">
        <v>610</v>
      </c>
      <c r="F13" s="132" t="s">
        <v>587</v>
      </c>
      <c r="G13" s="239"/>
      <c r="H13" s="239"/>
      <c r="I13" s="239"/>
      <c r="J13" s="132"/>
      <c r="K13" s="246">
        <v>2103645</v>
      </c>
      <c r="L13" s="247" t="s">
        <v>459</v>
      </c>
      <c r="M13" s="239"/>
      <c r="N13" s="240"/>
      <c r="O13" s="132"/>
    </row>
    <row r="14" spans="3:15">
      <c r="E14" s="227" t="s">
        <v>618</v>
      </c>
      <c r="F14" s="132"/>
      <c r="G14" s="246">
        <f t="shared" ref="G14:I14" si="2">G12+G13</f>
        <v>74046.649389115133</v>
      </c>
      <c r="H14" s="246">
        <f t="shared" si="2"/>
        <v>54794.520547945205</v>
      </c>
      <c r="I14" s="246">
        <f t="shared" si="2"/>
        <v>36529.680365296801</v>
      </c>
      <c r="J14" s="132"/>
      <c r="K14" s="246">
        <f>K12+K13</f>
        <v>2388411</v>
      </c>
      <c r="L14" s="247"/>
      <c r="M14" s="239"/>
      <c r="N14" s="240"/>
      <c r="O14" s="132"/>
    </row>
    <row r="15" spans="3:15">
      <c r="C15" t="s">
        <v>562</v>
      </c>
      <c r="D15" t="s">
        <v>456</v>
      </c>
      <c r="E15" s="227" t="s">
        <v>554</v>
      </c>
      <c r="F15" s="227" t="s">
        <v>555</v>
      </c>
      <c r="G15" s="227">
        <v>0.5</v>
      </c>
      <c r="H15" s="227">
        <v>1</v>
      </c>
      <c r="I15" s="227">
        <v>3</v>
      </c>
      <c r="J15" s="132"/>
      <c r="K15" s="235">
        <f>K12/K22</f>
        <v>1.5993597304128054E-2</v>
      </c>
      <c r="L15" s="132"/>
      <c r="M15" s="132"/>
      <c r="N15" s="132"/>
      <c r="O15" s="132"/>
    </row>
    <row r="16" spans="3:15">
      <c r="E16" s="227" t="s">
        <v>598</v>
      </c>
      <c r="F16" s="227" t="s">
        <v>597</v>
      </c>
      <c r="G16" s="245">
        <f>1/G15</f>
        <v>2</v>
      </c>
      <c r="H16" s="245">
        <f t="shared" ref="H16:I16" si="3">1/H15</f>
        <v>1</v>
      </c>
      <c r="I16" s="245">
        <f t="shared" si="3"/>
        <v>0.33333333333333331</v>
      </c>
      <c r="J16" s="132"/>
      <c r="K16" s="245">
        <f>1/K15</f>
        <v>62.525020543182819</v>
      </c>
      <c r="L16" s="132"/>
      <c r="M16" s="132"/>
      <c r="N16" s="132"/>
      <c r="O16" s="132"/>
    </row>
    <row r="17" spans="3:15" ht="18">
      <c r="E17" s="227" t="s">
        <v>614</v>
      </c>
      <c r="F17" s="227" t="s">
        <v>613</v>
      </c>
      <c r="G17" s="234">
        <v>1.6658960500000001E-3</v>
      </c>
      <c r="H17" s="234">
        <f>$G$17</f>
        <v>1.6658960500000001E-3</v>
      </c>
      <c r="I17" s="234">
        <f>$G$17</f>
        <v>1.6658960500000001E-3</v>
      </c>
      <c r="J17" s="249"/>
      <c r="K17" s="234">
        <f>$G$17</f>
        <v>1.6658960500000001E-3</v>
      </c>
      <c r="L17" s="132" t="s">
        <v>616</v>
      </c>
      <c r="M17" s="132"/>
      <c r="N17" s="132"/>
      <c r="O17" s="132"/>
    </row>
    <row r="18" spans="3:15" ht="18">
      <c r="E18" s="227" t="s">
        <v>615</v>
      </c>
      <c r="F18" s="227" t="s">
        <v>613</v>
      </c>
      <c r="G18" s="234">
        <v>1.8816958999999999E-3</v>
      </c>
      <c r="H18" s="234">
        <f>$G$18</f>
        <v>1.8816958999999999E-3</v>
      </c>
      <c r="I18" s="234">
        <f>$G$18</f>
        <v>1.8816958999999999E-3</v>
      </c>
      <c r="J18" s="249"/>
      <c r="K18" s="234">
        <f>$G$18</f>
        <v>1.8816958999999999E-3</v>
      </c>
      <c r="L18" s="132" t="s">
        <v>616</v>
      </c>
      <c r="M18" s="132"/>
      <c r="N18" s="132"/>
      <c r="O18" s="132"/>
    </row>
    <row r="19" spans="3:15" ht="18">
      <c r="E19" s="227" t="s">
        <v>619</v>
      </c>
      <c r="F19" s="227" t="s">
        <v>607</v>
      </c>
      <c r="G19" s="246">
        <f t="shared" ref="G19:I19" si="4">G17*G14</f>
        <v>123.35402073306182</v>
      </c>
      <c r="H19" s="246">
        <f t="shared" si="4"/>
        <v>91.281975342465756</v>
      </c>
      <c r="I19" s="246">
        <f t="shared" si="4"/>
        <v>60.854650228310497</v>
      </c>
      <c r="J19" s="249"/>
      <c r="K19" s="246">
        <f>K17*K14</f>
        <v>3978.84445067655</v>
      </c>
      <c r="L19" s="132"/>
      <c r="M19" s="132"/>
      <c r="N19" s="132"/>
      <c r="O19" s="132"/>
    </row>
    <row r="20" spans="3:15" ht="18">
      <c r="E20" s="227" t="s">
        <v>620</v>
      </c>
      <c r="F20" s="227" t="s">
        <v>607</v>
      </c>
      <c r="G20" s="246">
        <f t="shared" ref="G20:I20" si="5">G18*G14</f>
        <v>139.33327656423543</v>
      </c>
      <c r="H20" s="246">
        <f t="shared" si="5"/>
        <v>103.10662465753424</v>
      </c>
      <c r="I20" s="246">
        <f t="shared" si="5"/>
        <v>68.737749771689494</v>
      </c>
      <c r="J20" s="132"/>
      <c r="K20" s="246">
        <f>K18*K14</f>
        <v>4494.2631862149001</v>
      </c>
      <c r="L20" s="132"/>
      <c r="M20" s="132"/>
      <c r="N20" s="132"/>
      <c r="O20" s="132"/>
    </row>
    <row r="21" spans="3:15" ht="18">
      <c r="E21" s="227" t="s">
        <v>621</v>
      </c>
      <c r="F21" s="227" t="s">
        <v>607</v>
      </c>
      <c r="G21" s="246">
        <f t="shared" ref="G21:I21" si="6">G19+G20</f>
        <v>262.68729729729728</v>
      </c>
      <c r="H21" s="246">
        <f t="shared" si="6"/>
        <v>194.3886</v>
      </c>
      <c r="I21" s="246">
        <f t="shared" si="6"/>
        <v>129.5924</v>
      </c>
      <c r="J21" s="132">
        <f>G21/1.8</f>
        <v>145.93738738738736</v>
      </c>
      <c r="K21" s="246">
        <f>K19+K20</f>
        <v>8473.107636891451</v>
      </c>
      <c r="L21" s="132"/>
      <c r="M21" s="132">
        <f>K21/1.8</f>
        <v>4707.2820204952504</v>
      </c>
      <c r="N21" s="132"/>
      <c r="O21" s="132"/>
    </row>
    <row r="22" spans="3:15">
      <c r="C22" t="s">
        <v>563</v>
      </c>
      <c r="D22" t="s">
        <v>456</v>
      </c>
      <c r="E22" s="132" t="s">
        <v>546</v>
      </c>
      <c r="F22" s="132" t="s">
        <v>508</v>
      </c>
      <c r="G22" s="239">
        <f>G9/G10</f>
        <v>148093.29877823027</v>
      </c>
      <c r="H22" s="239">
        <f>H9/H10</f>
        <v>54794.520547945205</v>
      </c>
      <c r="I22" s="239">
        <f>I9/I10</f>
        <v>12176.5601217656</v>
      </c>
      <c r="J22" s="132"/>
      <c r="K22" s="239">
        <v>17805000</v>
      </c>
      <c r="L22" s="240" t="s">
        <v>457</v>
      </c>
      <c r="M22" s="239"/>
      <c r="N22" s="132"/>
      <c r="O22" s="132"/>
    </row>
    <row r="23" spans="3:15" ht="18">
      <c r="C23" t="s">
        <v>563</v>
      </c>
      <c r="D23" t="s">
        <v>456</v>
      </c>
      <c r="E23" s="132" t="s">
        <v>549</v>
      </c>
      <c r="F23" s="132" t="s">
        <v>541</v>
      </c>
      <c r="G23" s="237">
        <f>G32</f>
        <v>48204.368752313952</v>
      </c>
      <c r="H23" s="237">
        <f t="shared" ref="H23:I23" si="7">H32</f>
        <v>43726.027397260274</v>
      </c>
      <c r="I23" s="237">
        <f t="shared" si="7"/>
        <v>26849.31506849315</v>
      </c>
      <c r="J23" s="132"/>
      <c r="K23" s="239">
        <f>K32</f>
        <v>39260025</v>
      </c>
      <c r="L23" s="132"/>
      <c r="M23" s="233"/>
      <c r="N23" s="132"/>
      <c r="O23" s="132"/>
    </row>
    <row r="24" spans="3:15" ht="18">
      <c r="E24" s="132" t="s">
        <v>549</v>
      </c>
      <c r="F24" s="132" t="s">
        <v>622</v>
      </c>
      <c r="G24" s="237">
        <f>G23/1000</f>
        <v>48.204368752313954</v>
      </c>
      <c r="H24" s="237">
        <f t="shared" ref="H24:I24" si="8">H23/1000</f>
        <v>43.726027397260275</v>
      </c>
      <c r="I24" s="237">
        <f t="shared" si="8"/>
        <v>26.849315068493151</v>
      </c>
      <c r="J24" s="132"/>
      <c r="K24" s="239"/>
      <c r="L24" s="132"/>
      <c r="M24" s="233"/>
      <c r="N24" s="132"/>
      <c r="O24" s="132"/>
    </row>
    <row r="25" spans="3:15" ht="18">
      <c r="C25" t="s">
        <v>563</v>
      </c>
      <c r="D25" t="s">
        <v>456</v>
      </c>
      <c r="E25" s="132" t="s">
        <v>550</v>
      </c>
      <c r="F25" s="132" t="s">
        <v>541</v>
      </c>
      <c r="G25" s="239">
        <v>0</v>
      </c>
      <c r="H25" s="239">
        <v>38356</v>
      </c>
      <c r="I25" s="239">
        <f>11896+18265</f>
        <v>30161</v>
      </c>
      <c r="J25" s="132"/>
      <c r="K25" s="132">
        <v>0</v>
      </c>
      <c r="L25" s="132"/>
      <c r="M25" s="132"/>
      <c r="N25" s="132"/>
      <c r="O25" s="132"/>
    </row>
    <row r="26" spans="3:15" ht="18">
      <c r="C26" t="s">
        <v>563</v>
      </c>
      <c r="D26" t="s">
        <v>456</v>
      </c>
      <c r="E26" s="132" t="s">
        <v>551</v>
      </c>
      <c r="F26" s="132" t="s">
        <v>541</v>
      </c>
      <c r="G26" s="239">
        <f>G23-G25</f>
        <v>48204.368752313952</v>
      </c>
      <c r="H26" s="239">
        <f t="shared" ref="H26:I26" si="9">H23-H25</f>
        <v>5370.0273972602736</v>
      </c>
      <c r="I26" s="239">
        <f t="shared" si="9"/>
        <v>-3311.6849315068503</v>
      </c>
      <c r="J26" s="132"/>
      <c r="K26" s="239">
        <f>K23-K25</f>
        <v>39260025</v>
      </c>
      <c r="L26" s="132"/>
      <c r="M26" s="132"/>
      <c r="N26" s="132"/>
      <c r="O26" s="132"/>
    </row>
    <row r="27" spans="3:15" ht="18">
      <c r="E27" s="132" t="s">
        <v>556</v>
      </c>
      <c r="F27" s="132" t="s">
        <v>552</v>
      </c>
      <c r="G27" s="137">
        <f>G26/G22</f>
        <v>0.32550000000000001</v>
      </c>
      <c r="H27" s="137">
        <f t="shared" ref="H27:I27" si="10">H26/H22</f>
        <v>9.8002999999999993E-2</v>
      </c>
      <c r="I27" s="137">
        <f t="shared" si="10"/>
        <v>-0.27197212500000012</v>
      </c>
      <c r="J27" s="132"/>
      <c r="K27" s="137">
        <f>K26/K22</f>
        <v>2.2050000000000001</v>
      </c>
      <c r="L27" s="132"/>
      <c r="M27" s="132"/>
      <c r="N27" s="132"/>
      <c r="O27" s="132"/>
    </row>
    <row r="28" spans="3:15" ht="18">
      <c r="E28" s="132" t="s">
        <v>557</v>
      </c>
      <c r="F28" s="132" t="s">
        <v>558</v>
      </c>
      <c r="G28" s="137">
        <f>G27/G15</f>
        <v>0.65100000000000002</v>
      </c>
      <c r="H28" s="137">
        <f>H27/H15</f>
        <v>9.8002999999999993E-2</v>
      </c>
      <c r="I28" s="137">
        <f>I27/I15</f>
        <v>-9.065737500000004E-2</v>
      </c>
      <c r="J28" s="132"/>
      <c r="K28" s="137">
        <f>K27/K15</f>
        <v>137.86767029771812</v>
      </c>
      <c r="L28" s="132"/>
      <c r="M28" s="132"/>
      <c r="N28" s="132"/>
      <c r="O28" s="132"/>
    </row>
    <row r="29" spans="3:15" ht="18">
      <c r="C29" t="s">
        <v>562</v>
      </c>
      <c r="D29" t="s">
        <v>456</v>
      </c>
      <c r="E29" s="132" t="s">
        <v>561</v>
      </c>
      <c r="F29" s="132" t="s">
        <v>544</v>
      </c>
      <c r="G29" s="132">
        <v>15.5</v>
      </c>
      <c r="H29" s="132">
        <v>38</v>
      </c>
      <c r="I29" s="132">
        <v>105</v>
      </c>
      <c r="J29" s="132"/>
      <c r="K29" s="132">
        <v>105</v>
      </c>
      <c r="L29" s="132"/>
      <c r="M29" s="132"/>
      <c r="N29" s="132"/>
      <c r="O29" s="132"/>
    </row>
    <row r="30" spans="3:15" ht="18">
      <c r="E30" s="132" t="s">
        <v>564</v>
      </c>
      <c r="F30" s="244" t="s">
        <v>565</v>
      </c>
      <c r="G30" s="132">
        <v>21</v>
      </c>
      <c r="H30" s="132">
        <f>G30</f>
        <v>21</v>
      </c>
      <c r="I30" s="132">
        <f>G30</f>
        <v>21</v>
      </c>
      <c r="J30" s="132"/>
      <c r="K30" s="132">
        <v>21</v>
      </c>
      <c r="L30" s="132"/>
      <c r="M30" s="132"/>
      <c r="N30" s="132"/>
      <c r="O30" s="132"/>
    </row>
    <row r="31" spans="3:15" ht="18">
      <c r="E31" s="132" t="s">
        <v>567</v>
      </c>
      <c r="F31" s="244" t="s">
        <v>566</v>
      </c>
      <c r="G31" s="132">
        <f>G29*G30</f>
        <v>325.5</v>
      </c>
      <c r="H31" s="132">
        <f>H29*H30</f>
        <v>798</v>
      </c>
      <c r="I31" s="132">
        <f t="shared" ref="I31" si="11">I29*I30</f>
        <v>2205</v>
      </c>
      <c r="J31" s="132"/>
      <c r="K31" s="132">
        <f>K29*K30</f>
        <v>2205</v>
      </c>
      <c r="L31" s="132"/>
      <c r="M31" s="132"/>
      <c r="N31" s="132"/>
      <c r="O31" s="132"/>
    </row>
    <row r="32" spans="3:15" ht="18">
      <c r="E32" s="132" t="s">
        <v>568</v>
      </c>
      <c r="F32" s="244" t="s">
        <v>569</v>
      </c>
      <c r="G32" s="239">
        <f>G31*G22/1000</f>
        <v>48204.368752313952</v>
      </c>
      <c r="H32" s="239">
        <f>H31*H22/1000</f>
        <v>43726.027397260274</v>
      </c>
      <c r="I32" s="239">
        <f>I31*I22/1000</f>
        <v>26849.31506849315</v>
      </c>
      <c r="J32" s="132"/>
      <c r="K32" s="239">
        <f>K31*K22/1000</f>
        <v>39260025</v>
      </c>
      <c r="L32" s="132"/>
      <c r="M32" s="239">
        <f>K8*G35*K30/1000</f>
        <v>1510932.7016290259</v>
      </c>
      <c r="N32" s="132"/>
      <c r="O32" s="132"/>
    </row>
    <row r="33" spans="5:11">
      <c r="F33" s="228"/>
      <c r="G33" s="226"/>
      <c r="H33" s="226"/>
      <c r="I33" s="226"/>
    </row>
    <row r="34" spans="5:11" ht="18">
      <c r="E34" t="s">
        <v>561</v>
      </c>
      <c r="F34" t="s">
        <v>599</v>
      </c>
      <c r="G34" s="226">
        <f>G29*G16</f>
        <v>31</v>
      </c>
      <c r="H34" s="226"/>
      <c r="I34" s="226"/>
      <c r="K34" s="1">
        <f>G34</f>
        <v>31</v>
      </c>
    </row>
    <row r="35" spans="5:11" ht="18">
      <c r="E35" t="s">
        <v>561</v>
      </c>
      <c r="F35" t="s">
        <v>606</v>
      </c>
      <c r="G35" s="236">
        <f>G34/G11*1000</f>
        <v>229.54461310625692</v>
      </c>
      <c r="H35" s="226"/>
      <c r="I35" s="226"/>
      <c r="K35" s="226">
        <f>K12*K34/1000</f>
        <v>8827.7459999999992</v>
      </c>
    </row>
    <row r="36" spans="5:11">
      <c r="F36" s="228"/>
      <c r="G36" s="226"/>
      <c r="H36" s="226"/>
      <c r="I36" s="226"/>
      <c r="K36" s="226">
        <f>K30*K35</f>
        <v>185382.66599999997</v>
      </c>
    </row>
    <row r="37" spans="5:11">
      <c r="F37" s="228"/>
      <c r="G37" s="226"/>
      <c r="H37" s="226"/>
      <c r="I37" s="226"/>
    </row>
    <row r="38" spans="5:11">
      <c r="F38" s="228"/>
      <c r="G38" s="226"/>
      <c r="H38" s="226"/>
      <c r="I38" s="226"/>
    </row>
    <row r="39" spans="5:11">
      <c r="F39" s="228"/>
      <c r="G39" t="s">
        <v>602</v>
      </c>
      <c r="H39" t="s">
        <v>601</v>
      </c>
      <c r="I39" t="s">
        <v>603</v>
      </c>
      <c r="J39" t="s">
        <v>604</v>
      </c>
      <c r="K39" t="s">
        <v>605</v>
      </c>
    </row>
    <row r="40" spans="5:11">
      <c r="F40" s="228" t="s">
        <v>600</v>
      </c>
      <c r="G40" s="226">
        <v>284766</v>
      </c>
      <c r="H40" s="226">
        <v>117</v>
      </c>
      <c r="I40" s="226">
        <f>G40*H40/1000000</f>
        <v>33.317622</v>
      </c>
      <c r="J40" s="226">
        <v>28</v>
      </c>
      <c r="K40" s="226">
        <f>I40*J40</f>
        <v>932.893416</v>
      </c>
    </row>
    <row r="41" spans="5:11">
      <c r="F41" s="228" t="s">
        <v>9</v>
      </c>
      <c r="G41" s="226">
        <v>2103645</v>
      </c>
      <c r="H41" s="226">
        <v>57</v>
      </c>
      <c r="I41" s="226">
        <f>G41*H41/1000000</f>
        <v>119.907765</v>
      </c>
      <c r="J41" s="226">
        <v>28</v>
      </c>
      <c r="K41" s="226">
        <f>I41*J41</f>
        <v>3357.4174199999998</v>
      </c>
    </row>
    <row r="42" spans="5:11">
      <c r="F42" s="228"/>
      <c r="G42" s="226"/>
      <c r="H42" s="226"/>
      <c r="I42" s="226"/>
      <c r="J42" s="226"/>
      <c r="K42" s="226">
        <f>SUM(K40:K41)</f>
        <v>4290.3108359999997</v>
      </c>
    </row>
    <row r="43" spans="5:11">
      <c r="F43" s="228"/>
      <c r="G43" s="226"/>
      <c r="H43" s="226"/>
      <c r="I43" s="226"/>
      <c r="J43" s="226"/>
      <c r="K43" s="226"/>
    </row>
    <row r="44" spans="5:11">
      <c r="F44" s="228"/>
      <c r="G44" t="s">
        <v>602</v>
      </c>
      <c r="H44" s="226" t="s">
        <v>607</v>
      </c>
      <c r="I44" s="226"/>
      <c r="J44" s="226"/>
      <c r="K44" s="226"/>
    </row>
    <row r="45" spans="5:11">
      <c r="F45" s="228" t="s">
        <v>600</v>
      </c>
      <c r="G45" s="226">
        <v>284766</v>
      </c>
      <c r="H45" t="s">
        <v>608</v>
      </c>
      <c r="I45" s="226" t="s">
        <v>609</v>
      </c>
      <c r="J45" s="226"/>
      <c r="K45" s="226"/>
    </row>
    <row r="46" spans="5:11">
      <c r="F46" s="228" t="s">
        <v>9</v>
      </c>
      <c r="G46" s="226">
        <v>2103645</v>
      </c>
      <c r="H46" s="241">
        <v>1.8816958999999999E-3</v>
      </c>
      <c r="I46" s="241">
        <v>1.6658960500000001E-3</v>
      </c>
      <c r="J46" s="226"/>
      <c r="K46" s="226"/>
    </row>
    <row r="47" spans="5:11">
      <c r="F47" s="228" t="s">
        <v>14</v>
      </c>
      <c r="G47" s="226">
        <f>G45+G46</f>
        <v>2388411</v>
      </c>
      <c r="H47" s="226">
        <f>H46*G47</f>
        <v>4494.2631862149001</v>
      </c>
      <c r="I47" s="226">
        <f>I46*G47</f>
        <v>3978.84445067655</v>
      </c>
      <c r="J47" s="226">
        <f>H47+I47</f>
        <v>8473.107636891451</v>
      </c>
      <c r="K47" s="226"/>
    </row>
    <row r="48" spans="5:11">
      <c r="F48" s="228"/>
      <c r="G48" s="226"/>
      <c r="H48" s="226"/>
      <c r="I48" s="226"/>
      <c r="J48" s="226"/>
      <c r="K48" s="226"/>
    </row>
    <row r="49" spans="2:11">
      <c r="F49" s="228"/>
      <c r="G49" s="226"/>
      <c r="H49" s="226">
        <v>4605</v>
      </c>
      <c r="I49" s="226">
        <v>3960</v>
      </c>
      <c r="J49" s="226">
        <f>H49+I49</f>
        <v>8565</v>
      </c>
      <c r="K49" s="226"/>
    </row>
    <row r="50" spans="2:11">
      <c r="F50" s="228"/>
      <c r="G50" s="226"/>
      <c r="H50" s="226"/>
      <c r="I50" s="226"/>
      <c r="J50" s="226"/>
      <c r="K50" s="226"/>
    </row>
    <row r="51" spans="2:11">
      <c r="F51" s="228"/>
      <c r="G51" s="226"/>
      <c r="H51" s="226"/>
      <c r="I51" s="226"/>
      <c r="J51" s="226"/>
      <c r="K51" s="226"/>
    </row>
    <row r="52" spans="2:11">
      <c r="F52" s="228"/>
      <c r="G52" s="226"/>
      <c r="H52" s="226"/>
      <c r="I52" s="226"/>
      <c r="J52" s="226"/>
      <c r="K52" s="226"/>
    </row>
    <row r="53" spans="2:11">
      <c r="F53" s="228"/>
      <c r="G53" s="226"/>
      <c r="H53" s="226"/>
      <c r="I53" s="226"/>
      <c r="J53" s="226"/>
      <c r="K53" s="226"/>
    </row>
    <row r="54" spans="2:11">
      <c r="F54" s="228"/>
      <c r="G54" s="226"/>
      <c r="H54" s="226"/>
      <c r="I54" s="226"/>
      <c r="J54" s="226"/>
      <c r="K54" s="226"/>
    </row>
    <row r="56" spans="2:11">
      <c r="B56" t="s">
        <v>455</v>
      </c>
      <c r="C56" s="224" t="s">
        <v>540</v>
      </c>
    </row>
    <row r="57" spans="2:11">
      <c r="E57" t="s">
        <v>543</v>
      </c>
    </row>
    <row r="58" spans="2:11">
      <c r="B58" t="s">
        <v>456</v>
      </c>
      <c r="C58" t="s">
        <v>553</v>
      </c>
    </row>
    <row r="59" spans="2:11">
      <c r="B59" t="s">
        <v>457</v>
      </c>
      <c r="C59" t="s">
        <v>584</v>
      </c>
    </row>
    <row r="60" spans="2:11">
      <c r="B60" t="s">
        <v>458</v>
      </c>
      <c r="C60" t="s">
        <v>589</v>
      </c>
      <c r="E60" t="s">
        <v>590</v>
      </c>
    </row>
    <row r="61" spans="2:11">
      <c r="B61" t="s">
        <v>459</v>
      </c>
      <c r="C61" t="s">
        <v>612</v>
      </c>
    </row>
    <row r="62" spans="2:11">
      <c r="B62" t="s">
        <v>616</v>
      </c>
      <c r="C62" t="s">
        <v>617</v>
      </c>
    </row>
    <row r="67" spans="7:14">
      <c r="M67">
        <v>0.8</v>
      </c>
    </row>
    <row r="68" spans="7:14">
      <c r="H68" t="s">
        <v>570</v>
      </c>
      <c r="I68" t="s">
        <v>571</v>
      </c>
      <c r="J68" t="s">
        <v>572</v>
      </c>
      <c r="K68" t="s">
        <v>573</v>
      </c>
      <c r="L68" t="s">
        <v>574</v>
      </c>
      <c r="M68" t="s">
        <v>582</v>
      </c>
      <c r="N68" t="s">
        <v>583</v>
      </c>
    </row>
    <row r="69" spans="7:14">
      <c r="G69" t="s">
        <v>575</v>
      </c>
      <c r="H69">
        <v>8</v>
      </c>
      <c r="I69">
        <v>8</v>
      </c>
      <c r="J69">
        <v>8</v>
      </c>
      <c r="K69">
        <v>8</v>
      </c>
      <c r="L69">
        <v>10</v>
      </c>
      <c r="M69">
        <f>$M$67*L69</f>
        <v>8</v>
      </c>
      <c r="N69">
        <v>4</v>
      </c>
    </row>
    <row r="70" spans="7:14">
      <c r="G70" t="s">
        <v>576</v>
      </c>
      <c r="H70">
        <v>13</v>
      </c>
      <c r="I70">
        <v>13</v>
      </c>
      <c r="J70">
        <v>13</v>
      </c>
      <c r="K70">
        <v>26</v>
      </c>
      <c r="L70">
        <v>30</v>
      </c>
      <c r="M70">
        <f>$M$67*L70</f>
        <v>24</v>
      </c>
      <c r="N70">
        <v>6.5</v>
      </c>
    </row>
    <row r="71" spans="7:14">
      <c r="G71" t="s">
        <v>577</v>
      </c>
      <c r="H71">
        <f>H70-H69</f>
        <v>5</v>
      </c>
      <c r="I71">
        <f>I70-I69</f>
        <v>5</v>
      </c>
      <c r="J71">
        <f>J70-J69</f>
        <v>5</v>
      </c>
      <c r="K71" s="227">
        <f t="shared" ref="K71" si="12">K70-K69</f>
        <v>18</v>
      </c>
      <c r="L71">
        <f>L70-L69</f>
        <v>20</v>
      </c>
      <c r="M71">
        <f t="shared" ref="M71:N71" si="13">M70-M69</f>
        <v>16</v>
      </c>
      <c r="N71">
        <f t="shared" si="13"/>
        <v>2.5</v>
      </c>
    </row>
    <row r="72" spans="7:14">
      <c r="G72" s="229" t="s">
        <v>578</v>
      </c>
      <c r="H72">
        <v>0</v>
      </c>
      <c r="I72">
        <v>-5</v>
      </c>
      <c r="J72">
        <v>-10</v>
      </c>
      <c r="K72">
        <v>-10</v>
      </c>
      <c r="L72">
        <v>-10</v>
      </c>
      <c r="M72">
        <f>$M$67*L72</f>
        <v>-8</v>
      </c>
      <c r="N72">
        <v>-10</v>
      </c>
    </row>
    <row r="73" spans="7:14">
      <c r="G73" s="230" t="s">
        <v>579</v>
      </c>
      <c r="H73" s="231">
        <f>-H72/H69</f>
        <v>0</v>
      </c>
      <c r="I73" s="231">
        <f>-I72/I69</f>
        <v>0.625</v>
      </c>
      <c r="J73" s="231">
        <f>-J72/J69</f>
        <v>1.25</v>
      </c>
      <c r="K73" s="231">
        <f t="shared" ref="K73:M73" si="14">-K72/K69</f>
        <v>1.25</v>
      </c>
      <c r="L73" s="231">
        <f t="shared" si="14"/>
        <v>1</v>
      </c>
      <c r="M73" s="231">
        <f t="shared" si="14"/>
        <v>1</v>
      </c>
      <c r="N73" s="231">
        <f>-N72/N69</f>
        <v>2.5</v>
      </c>
    </row>
    <row r="74" spans="7:14">
      <c r="G74" t="s">
        <v>580</v>
      </c>
      <c r="H74">
        <f>H69/H70</f>
        <v>0.61538461538461542</v>
      </c>
      <c r="I74">
        <f t="shared" ref="I74:J74" si="15">I69/I70</f>
        <v>0.61538461538461542</v>
      </c>
      <c r="J74">
        <f t="shared" si="15"/>
        <v>0.61538461538461542</v>
      </c>
      <c r="K74">
        <f>K69/K70</f>
        <v>0.30769230769230771</v>
      </c>
      <c r="L74">
        <f>L69/L70</f>
        <v>0.33333333333333331</v>
      </c>
      <c r="M74">
        <f>M69/M70</f>
        <v>0.33333333333333331</v>
      </c>
      <c r="N74">
        <f t="shared" ref="N74" si="16">N69/N70</f>
        <v>0.61538461538461542</v>
      </c>
    </row>
    <row r="75" spans="7:14">
      <c r="G75" s="229" t="s">
        <v>581</v>
      </c>
      <c r="H75">
        <f>-H72/H74</f>
        <v>0</v>
      </c>
      <c r="I75">
        <f t="shared" ref="I75:N75" si="17">-I72/I74</f>
        <v>8.125</v>
      </c>
      <c r="J75">
        <f t="shared" si="17"/>
        <v>16.25</v>
      </c>
      <c r="K75">
        <f t="shared" si="17"/>
        <v>32.5</v>
      </c>
      <c r="L75">
        <f t="shared" si="17"/>
        <v>30</v>
      </c>
      <c r="M75">
        <f t="shared" si="17"/>
        <v>24</v>
      </c>
      <c r="N75">
        <f t="shared" si="17"/>
        <v>16.25</v>
      </c>
    </row>
    <row r="84" spans="7:15">
      <c r="I84" t="s">
        <v>593</v>
      </c>
      <c r="K84" t="s">
        <v>594</v>
      </c>
      <c r="M84" t="s">
        <v>595</v>
      </c>
      <c r="O84" t="s">
        <v>596</v>
      </c>
    </row>
    <row r="85" spans="7:15">
      <c r="G85" t="s">
        <v>591</v>
      </c>
      <c r="H85" t="s">
        <v>592</v>
      </c>
      <c r="I85">
        <v>2.8</v>
      </c>
      <c r="K85">
        <v>4.3</v>
      </c>
      <c r="M85">
        <v>10</v>
      </c>
      <c r="O85">
        <v>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6697-7039-4A12-9E11-FA24DE03D132}">
  <dimension ref="A1"/>
  <sheetViews>
    <sheetView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C950D-B89E-4E10-85CE-ECE042B6E0B4}">
  <dimension ref="A3:U71"/>
  <sheetViews>
    <sheetView tabSelected="1" topLeftCell="B40" zoomScaleNormal="100" workbookViewId="0">
      <selection activeCell="S56" sqref="S56"/>
    </sheetView>
  </sheetViews>
  <sheetFormatPr defaultRowHeight="15"/>
  <cols>
    <col min="1" max="1" width="49.7109375" bestFit="1" customWidth="1"/>
    <col min="3" max="3" width="14" customWidth="1"/>
    <col min="4" max="5" width="17.42578125" customWidth="1"/>
    <col min="6" max="7" width="11.140625" customWidth="1"/>
    <col min="8" max="8" width="11.28515625" customWidth="1"/>
    <col min="9" max="11" width="12.5703125" customWidth="1"/>
    <col min="12" max="13" width="11" bestFit="1" customWidth="1"/>
    <col min="14" max="14" width="20.28515625" customWidth="1"/>
    <col min="15" max="15" width="14.7109375" customWidth="1"/>
    <col min="16" max="21" width="11" bestFit="1" customWidth="1"/>
  </cols>
  <sheetData>
    <row r="3" spans="1:1">
      <c r="A3" t="s">
        <v>702</v>
      </c>
    </row>
    <row r="4" spans="1:1">
      <c r="A4" t="s">
        <v>703</v>
      </c>
    </row>
    <row r="30" spans="1:21">
      <c r="A30" s="270" t="s">
        <v>695</v>
      </c>
      <c r="B30" s="271">
        <v>2013</v>
      </c>
      <c r="C30" s="271">
        <v>2014</v>
      </c>
      <c r="D30" s="271">
        <v>2015</v>
      </c>
      <c r="E30" s="271">
        <v>2016</v>
      </c>
      <c r="F30" s="271">
        <v>2017</v>
      </c>
      <c r="G30" s="271">
        <v>2018</v>
      </c>
      <c r="H30" s="271">
        <v>2019</v>
      </c>
      <c r="I30" s="271">
        <v>2020</v>
      </c>
      <c r="J30" s="271">
        <v>2021</v>
      </c>
      <c r="K30" s="271">
        <v>2022</v>
      </c>
      <c r="L30" s="271">
        <v>2023</v>
      </c>
      <c r="M30" s="271">
        <v>2024</v>
      </c>
      <c r="N30" s="271">
        <v>2025</v>
      </c>
      <c r="O30" s="271">
        <v>2026</v>
      </c>
      <c r="P30" s="271">
        <v>2027</v>
      </c>
      <c r="Q30" s="271">
        <v>2028</v>
      </c>
      <c r="R30" s="271">
        <v>2029</v>
      </c>
      <c r="S30" s="271">
        <v>2030</v>
      </c>
      <c r="T30" s="271">
        <v>2031</v>
      </c>
      <c r="U30" s="271">
        <v>2032</v>
      </c>
    </row>
    <row r="31" spans="1:21">
      <c r="A31" t="str">
        <f>'[1]Tabla Resumen Prioritarias'!A31</f>
        <v>3A2a Bovinos</v>
      </c>
      <c r="B31" s="272">
        <v>3600.3411524080839</v>
      </c>
      <c r="C31" s="272">
        <v>3684.2695272366668</v>
      </c>
      <c r="D31" s="272">
        <v>3817.6399996797709</v>
      </c>
      <c r="E31" s="272">
        <v>4423.6938958774172</v>
      </c>
      <c r="F31" s="272">
        <v>4605.358367948681</v>
      </c>
      <c r="G31" s="272">
        <v>4395.0792369798346</v>
      </c>
      <c r="H31" s="272">
        <v>4526.1708016312668</v>
      </c>
      <c r="I31" s="272">
        <v>4661.1724205493392</v>
      </c>
      <c r="J31" s="272">
        <v>4800.2007185100847</v>
      </c>
      <c r="K31" s="272">
        <v>4943.3757988444349</v>
      </c>
      <c r="L31" s="272">
        <v>5090.8213471926956</v>
      </c>
      <c r="M31" s="272">
        <v>5242.6647383537165</v>
      </c>
      <c r="N31" s="272">
        <v>5399.0371463210322</v>
      </c>
      <c r="O31" s="272">
        <v>5560.0736576010404</v>
      </c>
      <c r="P31" s="272">
        <v>5725.9133879111123</v>
      </c>
      <c r="Q31" s="272">
        <v>5896.6996023584461</v>
      </c>
      <c r="R31" s="272">
        <v>6072.5798392034685</v>
      </c>
      <c r="S31" s="272">
        <v>6253.7060373147378</v>
      </c>
      <c r="T31" s="272">
        <v>6440.2346674254077</v>
      </c>
      <c r="U31" s="272">
        <v>6632.3268673046896</v>
      </c>
    </row>
    <row r="32" spans="1:21">
      <c r="A32" t="str">
        <f>'[1]Tabla Resumen Prioritarias'!A32</f>
        <v>3A1a Bovino</v>
      </c>
      <c r="B32" s="272">
        <v>3237.0198383011998</v>
      </c>
      <c r="C32" s="272">
        <v>3315.9102162787999</v>
      </c>
      <c r="D32" s="272">
        <v>3479.1418364527999</v>
      </c>
      <c r="E32" s="272">
        <v>3860.5180900104001</v>
      </c>
      <c r="F32" s="272">
        <v>3960.1264578540004</v>
      </c>
      <c r="G32" s="272">
        <v>3891.035283821217</v>
      </c>
      <c r="H32" s="272">
        <v>4007.0927826663496</v>
      </c>
      <c r="I32" s="272">
        <v>4126.6119162836476</v>
      </c>
      <c r="J32" s="272">
        <v>4249.6959344881989</v>
      </c>
      <c r="K32" s="272">
        <v>4376.4511667164388</v>
      </c>
      <c r="L32" s="272">
        <v>4506.9871138816798</v>
      </c>
      <c r="M32" s="272">
        <v>4641.4165429694249</v>
      </c>
      <c r="N32" s="272">
        <v>4779.8555844541515</v>
      </c>
      <c r="O32" s="272">
        <v>4922.4238326217464</v>
      </c>
      <c r="P32" s="272">
        <v>5069.2444488842439</v>
      </c>
      <c r="Q32" s="272">
        <v>5220.4442681761211</v>
      </c>
      <c r="R32" s="272">
        <v>5376.1539085240574</v>
      </c>
      <c r="S32" s="272">
        <v>5536.5078838848376</v>
      </c>
      <c r="T32" s="272">
        <v>5701.644720348836</v>
      </c>
      <c r="U32" s="272">
        <v>5871.7070758095169</v>
      </c>
    </row>
    <row r="33" spans="1:21">
      <c r="A33" t="s">
        <v>723</v>
      </c>
      <c r="B33" s="272">
        <f>B31+B32</f>
        <v>6837.3609907092832</v>
      </c>
      <c r="C33" s="272">
        <f t="shared" ref="C33:U33" si="0">C31+C32</f>
        <v>7000.1797435154667</v>
      </c>
      <c r="D33" s="272">
        <f t="shared" si="0"/>
        <v>7296.7818361325708</v>
      </c>
      <c r="E33" s="272">
        <f t="shared" si="0"/>
        <v>8284.2119858878177</v>
      </c>
      <c r="F33" s="272">
        <f t="shared" si="0"/>
        <v>8565.4848258026814</v>
      </c>
      <c r="G33" s="272">
        <f t="shared" si="0"/>
        <v>8286.1145208010512</v>
      </c>
      <c r="H33" s="272">
        <f t="shared" si="0"/>
        <v>8533.263584297616</v>
      </c>
      <c r="I33" s="272">
        <f t="shared" si="0"/>
        <v>8787.7843368329868</v>
      </c>
      <c r="J33" s="272">
        <f t="shared" si="0"/>
        <v>9049.8966529982827</v>
      </c>
      <c r="K33" s="272">
        <f t="shared" si="0"/>
        <v>9319.8269655608747</v>
      </c>
      <c r="L33" s="272">
        <f t="shared" si="0"/>
        <v>9597.8084610743754</v>
      </c>
      <c r="M33" s="272">
        <f t="shared" si="0"/>
        <v>9884.0812813231423</v>
      </c>
      <c r="N33" s="272">
        <f t="shared" si="0"/>
        <v>10178.892730775184</v>
      </c>
      <c r="O33" s="272">
        <f t="shared" si="0"/>
        <v>10482.497490222788</v>
      </c>
      <c r="P33" s="272">
        <f t="shared" si="0"/>
        <v>10795.157836795355</v>
      </c>
      <c r="Q33" s="272">
        <f t="shared" si="0"/>
        <v>11117.143870534568</v>
      </c>
      <c r="R33" s="272">
        <f t="shared" si="0"/>
        <v>11448.733747727525</v>
      </c>
      <c r="S33" s="272">
        <f t="shared" si="0"/>
        <v>11790.213921199575</v>
      </c>
      <c r="T33" s="272">
        <f>T31+T32</f>
        <v>12141.879387774243</v>
      </c>
      <c r="U33" s="272">
        <f t="shared" si="0"/>
        <v>12504.033943114206</v>
      </c>
    </row>
    <row r="34" spans="1:21">
      <c r="A34" t="s">
        <v>704</v>
      </c>
      <c r="B34" s="272">
        <f>B31+B32</f>
        <v>6837.3609907092832</v>
      </c>
      <c r="C34" s="272">
        <f t="shared" ref="C34:F34" si="1">C31+C32</f>
        <v>7000.1797435154667</v>
      </c>
      <c r="D34" s="272">
        <f t="shared" si="1"/>
        <v>7296.7818361325708</v>
      </c>
      <c r="E34" s="272">
        <f t="shared" si="1"/>
        <v>8284.2119858878177</v>
      </c>
      <c r="F34" s="272">
        <f t="shared" si="1"/>
        <v>8565.4848258026814</v>
      </c>
      <c r="G34" s="272">
        <f t="shared" ref="G34" si="2">G31+G32</f>
        <v>8286.1145208010512</v>
      </c>
      <c r="H34" s="272">
        <f t="shared" ref="H34" si="3">H31+H32</f>
        <v>8533.263584297616</v>
      </c>
      <c r="I34" s="272">
        <f t="array" ref="I34:U36">TRANSPOSE(I55:K67)</f>
        <v>8386.471330007158</v>
      </c>
      <c r="J34" s="272">
        <v>8223.3307979271012</v>
      </c>
      <c r="K34" s="272">
        <v>8042.997344138832</v>
      </c>
      <c r="L34" s="272">
        <v>7844.5904826549122</v>
      </c>
      <c r="M34" s="272">
        <v>7852.8813769947092</v>
      </c>
      <c r="N34" s="272">
        <v>7854.687964607062</v>
      </c>
      <c r="O34" s="272">
        <v>8088.9689137343166</v>
      </c>
      <c r="P34" s="272">
        <v>8330.2377360108621</v>
      </c>
      <c r="Q34" s="272">
        <v>8578.7028579918024</v>
      </c>
      <c r="R34" s="272">
        <v>8834.5789229490856</v>
      </c>
      <c r="S34" s="272">
        <v>9098.086976296905</v>
      </c>
      <c r="T34" s="272">
        <v>9369.454656547683</v>
      </c>
      <c r="U34" s="272">
        <v>9648.9163919637522</v>
      </c>
    </row>
    <row r="35" spans="1:21">
      <c r="A35" t="s">
        <v>705</v>
      </c>
      <c r="B35" s="272">
        <f>B31+B32</f>
        <v>6837.3609907092832</v>
      </c>
      <c r="C35" s="272">
        <f t="shared" ref="C35:E35" si="4">C31+C32</f>
        <v>7000.1797435154667</v>
      </c>
      <c r="D35" s="272">
        <f t="shared" si="4"/>
        <v>7296.7818361325708</v>
      </c>
      <c r="E35" s="272">
        <f t="shared" si="4"/>
        <v>8284.2119858878177</v>
      </c>
      <c r="F35" s="272">
        <f t="shared" ref="F35:H35" si="5">F31+F32</f>
        <v>8565.4848258026814</v>
      </c>
      <c r="G35" s="272">
        <f t="shared" si="5"/>
        <v>8286.1145208010512</v>
      </c>
      <c r="H35" s="272">
        <f t="shared" si="5"/>
        <v>8533.263584297616</v>
      </c>
      <c r="I35" s="272">
        <v>7597.7456946965067</v>
      </c>
      <c r="J35" s="272">
        <v>6598.8290547028882</v>
      </c>
      <c r="K35" s="272">
        <v>5533.5639661755013</v>
      </c>
      <c r="L35" s="272">
        <v>4398.8811725973601</v>
      </c>
      <c r="M35" s="272">
        <v>3860.8367441635642</v>
      </c>
      <c r="N35" s="272">
        <v>3286.7824903058122</v>
      </c>
      <c r="O35" s="272">
        <v>3384.8170048369325</v>
      </c>
      <c r="P35" s="272">
        <v>3485.7755844887884</v>
      </c>
      <c r="Q35" s="272">
        <v>3589.7454450432051</v>
      </c>
      <c r="R35" s="272">
        <v>3696.816403657921</v>
      </c>
      <c r="S35" s="272">
        <v>3807.0809564575698</v>
      </c>
      <c r="T35" s="272">
        <v>3920.6343584389283</v>
      </c>
      <c r="U35" s="272">
        <v>4037.5747057595186</v>
      </c>
    </row>
    <row r="36" spans="1:21">
      <c r="A36" t="s">
        <v>706</v>
      </c>
      <c r="B36" s="272">
        <f>B31+B32</f>
        <v>6837.3609907092832</v>
      </c>
      <c r="C36" s="272">
        <f t="shared" ref="C36:F36" si="6">C31+C32</f>
        <v>7000.1797435154667</v>
      </c>
      <c r="D36" s="272">
        <f t="shared" si="6"/>
        <v>7296.7818361325708</v>
      </c>
      <c r="E36" s="272">
        <f t="shared" si="6"/>
        <v>8284.2119858878177</v>
      </c>
      <c r="F36" s="272">
        <f t="shared" si="6"/>
        <v>8565.4848258026814</v>
      </c>
      <c r="G36" s="272">
        <f t="shared" ref="G36:H36" si="7">G31+G32</f>
        <v>8286.1145208010512</v>
      </c>
      <c r="H36" s="272">
        <f t="shared" si="7"/>
        <v>8533.263584297616</v>
      </c>
      <c r="I36" s="272">
        <v>6085.4464057715923</v>
      </c>
      <c r="J36" s="272">
        <v>3484.0160942142411</v>
      </c>
      <c r="K36" s="272">
        <v>721.98672917640533</v>
      </c>
      <c r="L36" s="272">
        <v>-2207.9076854693308</v>
      </c>
      <c r="M36" s="272">
        <v>-3793.4932145795951</v>
      </c>
      <c r="N36" s="272">
        <v>-5471.7006772168888</v>
      </c>
      <c r="O36" s="272">
        <v>-5634.9045159657826</v>
      </c>
      <c r="P36" s="272">
        <v>-5802.9762183924677</v>
      </c>
      <c r="Q36" s="272">
        <v>-5976.0609777532281</v>
      </c>
      <c r="R36" s="272">
        <v>-6154.3083179682799</v>
      </c>
      <c r="S36" s="272">
        <v>-6337.8722227920271</v>
      </c>
      <c r="T36" s="272">
        <v>-6526.911268836071</v>
      </c>
      <c r="U36" s="272">
        <v>-6721.5887625598843</v>
      </c>
    </row>
    <row r="37" spans="1:21">
      <c r="G37" s="272"/>
      <c r="S37" s="1">
        <f>S$33-S34</f>
        <v>2692.1269449026695</v>
      </c>
      <c r="T37" s="1">
        <f t="shared" ref="T37:U37" si="8">T$33-T34</f>
        <v>2772.4247312265597</v>
      </c>
      <c r="U37" s="1">
        <f t="shared" si="8"/>
        <v>2855.1175511504534</v>
      </c>
    </row>
    <row r="38" spans="1:21">
      <c r="B38" s="273" t="s">
        <v>489</v>
      </c>
      <c r="C38" s="215">
        <v>2.9826894484276778E-2</v>
      </c>
      <c r="D38" s="215"/>
      <c r="E38" s="215"/>
      <c r="I38" s="280" t="s">
        <v>707</v>
      </c>
      <c r="J38" s="280"/>
      <c r="K38" s="280"/>
      <c r="S38" s="1">
        <f t="shared" ref="S38:U39" si="9">S$33-S35</f>
        <v>7983.1329647420043</v>
      </c>
      <c r="T38" s="1">
        <f t="shared" si="9"/>
        <v>8221.245029335314</v>
      </c>
      <c r="U38" s="1">
        <f t="shared" si="9"/>
        <v>8466.4592373546875</v>
      </c>
    </row>
    <row r="39" spans="1:21" ht="16.5">
      <c r="B39" s="273" t="s">
        <v>696</v>
      </c>
      <c r="C39" s="215">
        <v>2008</v>
      </c>
      <c r="D39" s="339" t="s">
        <v>697</v>
      </c>
      <c r="E39" s="339"/>
      <c r="I39" s="278" t="s">
        <v>708</v>
      </c>
      <c r="J39" s="278" t="s">
        <v>709</v>
      </c>
      <c r="K39" s="278" t="s">
        <v>710</v>
      </c>
      <c r="S39" s="1">
        <f t="shared" si="9"/>
        <v>18128.086143991601</v>
      </c>
      <c r="T39" s="1">
        <f t="shared" si="9"/>
        <v>18668.790656610312</v>
      </c>
      <c r="U39" s="1">
        <f t="shared" si="9"/>
        <v>19225.62270567409</v>
      </c>
    </row>
    <row r="40" spans="1:21" ht="16.5">
      <c r="B40" s="274" t="s">
        <v>698</v>
      </c>
      <c r="C40" s="275">
        <v>1740904.6120000035</v>
      </c>
      <c r="D40" s="276">
        <v>1.6658960500000001E-3</v>
      </c>
      <c r="E40" s="276">
        <v>1.8816958999999999E-3</v>
      </c>
      <c r="H40" s="214" t="s">
        <v>711</v>
      </c>
      <c r="I40" s="277">
        <v>4000</v>
      </c>
      <c r="J40" s="277">
        <v>25000</v>
      </c>
      <c r="K40" s="277">
        <v>90000</v>
      </c>
    </row>
    <row r="41" spans="1:21" ht="24">
      <c r="B41" s="214" t="s">
        <v>11</v>
      </c>
      <c r="C41" s="214" t="s">
        <v>495</v>
      </c>
      <c r="D41" s="214" t="s">
        <v>497</v>
      </c>
      <c r="E41" s="214" t="s">
        <v>498</v>
      </c>
      <c r="G41" s="281" t="s">
        <v>713</v>
      </c>
      <c r="H41" s="282" t="s">
        <v>722</v>
      </c>
      <c r="I41" s="287">
        <f>-2/1000</f>
        <v>-2E-3</v>
      </c>
      <c r="J41" s="288">
        <v>-5.0000000000000001E-3</v>
      </c>
      <c r="K41" s="288">
        <v>-0.01</v>
      </c>
      <c r="L41" s="344" t="s">
        <v>731</v>
      </c>
    </row>
    <row r="42" spans="1:21" ht="24.75">
      <c r="B42" s="215"/>
      <c r="C42" s="279" t="s">
        <v>496</v>
      </c>
      <c r="D42" s="284" t="s">
        <v>501</v>
      </c>
      <c r="E42" s="284" t="s">
        <v>501</v>
      </c>
      <c r="G42" s="281" t="s">
        <v>714</v>
      </c>
      <c r="H42" s="282" t="s">
        <v>227</v>
      </c>
      <c r="I42" s="283">
        <v>0.2</v>
      </c>
      <c r="J42" s="283">
        <v>0.5</v>
      </c>
      <c r="K42" s="283">
        <v>0.9</v>
      </c>
    </row>
    <row r="43" spans="1:21">
      <c r="B43" s="215">
        <v>2008</v>
      </c>
      <c r="C43" s="213">
        <f>$C$40*(1+$C$38)^(B43-$C$39)</f>
        <v>1740904.6120000035</v>
      </c>
      <c r="D43" s="213">
        <f>$D$40*C43</f>
        <v>2900.1661165575883</v>
      </c>
      <c r="E43" s="213">
        <f>$E$40*C43</f>
        <v>3275.8530706914971</v>
      </c>
      <c r="I43" s="290">
        <v>0</v>
      </c>
      <c r="J43" s="290">
        <v>0</v>
      </c>
      <c r="K43" s="290">
        <v>0</v>
      </c>
      <c r="N43" s="215" t="s">
        <v>725</v>
      </c>
      <c r="O43" s="215" t="s">
        <v>726</v>
      </c>
      <c r="P43" s="215" t="s">
        <v>518</v>
      </c>
      <c r="Q43" s="215" t="s">
        <v>721</v>
      </c>
      <c r="R43" s="215" t="s">
        <v>547</v>
      </c>
    </row>
    <row r="44" spans="1:21">
      <c r="B44" s="215">
        <v>2009</v>
      </c>
      <c r="C44" s="213">
        <f t="shared" ref="C44:C67" si="10">$C$40*(1+$C$38)^(B44-$C$39)</f>
        <v>1792830.3901693183</v>
      </c>
      <c r="D44" s="213">
        <f>$D$40*C44</f>
        <v>2986.6690653030264</v>
      </c>
      <c r="E44" s="213">
        <f>$E$40*C44</f>
        <v>3373.5615945770064</v>
      </c>
      <c r="I44" s="290">
        <v>0</v>
      </c>
      <c r="J44" s="290">
        <v>0</v>
      </c>
      <c r="K44" s="290">
        <v>0</v>
      </c>
      <c r="N44" s="291" t="s">
        <v>715</v>
      </c>
      <c r="O44" s="215" t="s">
        <v>716</v>
      </c>
      <c r="P44" s="286">
        <v>0.40897458333333331</v>
      </c>
      <c r="Q44" s="286">
        <v>0.40897458333333331</v>
      </c>
      <c r="R44" s="286">
        <v>3.3628081686845425E-2</v>
      </c>
    </row>
    <row r="45" spans="1:21">
      <c r="B45" s="215">
        <v>2010</v>
      </c>
      <c r="C45" s="213">
        <f t="shared" si="10"/>
        <v>1846304.9530451035</v>
      </c>
      <c r="D45" s="213">
        <f>$D$40*C45</f>
        <v>3075.7521283732735</v>
      </c>
      <c r="E45" s="213">
        <f>$E$40*C45</f>
        <v>3474.1844602946635</v>
      </c>
      <c r="I45" s="290">
        <v>0</v>
      </c>
      <c r="J45" s="290">
        <v>0</v>
      </c>
      <c r="K45" s="290">
        <v>0</v>
      </c>
      <c r="N45" s="291" t="s">
        <v>717</v>
      </c>
      <c r="O45" s="215" t="s">
        <v>587</v>
      </c>
      <c r="P45" s="215">
        <v>145.15470000000002</v>
      </c>
      <c r="Q45" s="215">
        <v>145.15470000000002</v>
      </c>
      <c r="R45" s="215">
        <v>145.15470000000002</v>
      </c>
    </row>
    <row r="46" spans="1:21">
      <c r="B46" s="215">
        <v>2011</v>
      </c>
      <c r="C46" s="213">
        <f t="shared" si="10"/>
        <v>1901374.4960653773</v>
      </c>
      <c r="D46" s="213">
        <f>$D$40*C46</f>
        <v>3167.4922625660524</v>
      </c>
      <c r="E46" s="213">
        <f>$E$40*C46</f>
        <v>3577.8085936107864</v>
      </c>
      <c r="I46" s="290">
        <v>0</v>
      </c>
      <c r="J46" s="290">
        <v>0</v>
      </c>
      <c r="K46" s="290">
        <v>0</v>
      </c>
      <c r="N46" s="291" t="s">
        <v>718</v>
      </c>
      <c r="O46" s="215" t="s">
        <v>508</v>
      </c>
      <c r="P46" s="215">
        <v>48</v>
      </c>
      <c r="Q46" s="215">
        <v>48</v>
      </c>
      <c r="R46" s="215">
        <v>583.7615176151761</v>
      </c>
    </row>
    <row r="47" spans="1:21">
      <c r="B47" s="215">
        <v>2012</v>
      </c>
      <c r="C47" s="213">
        <f t="shared" si="10"/>
        <v>1958086.5925346145</v>
      </c>
      <c r="D47" s="213">
        <f>$D$40*C47</f>
        <v>3261.9687200613739</v>
      </c>
      <c r="E47" s="213">
        <f t="shared" ref="E47:E67" si="11">$E$40*C47</f>
        <v>3684.5235130173546</v>
      </c>
      <c r="I47" s="290">
        <v>0</v>
      </c>
      <c r="J47" s="290">
        <v>0</v>
      </c>
      <c r="K47" s="290">
        <v>0</v>
      </c>
      <c r="N47" s="341" t="s">
        <v>719</v>
      </c>
      <c r="O47" s="342" t="s">
        <v>555</v>
      </c>
      <c r="P47" s="343">
        <v>3.0240562500000006</v>
      </c>
      <c r="Q47" s="286">
        <v>3.0240562500000006</v>
      </c>
      <c r="R47" s="286">
        <v>0.24865410894674297</v>
      </c>
      <c r="T47" s="132"/>
      <c r="U47" s="132"/>
    </row>
    <row r="48" spans="1:21">
      <c r="B48" s="215">
        <v>2013</v>
      </c>
      <c r="C48" s="213">
        <f t="shared" si="10"/>
        <v>2016490.2347212215</v>
      </c>
      <c r="D48" s="213">
        <f t="shared" ref="D48:D67" si="12">$D$40*C48</f>
        <v>3359.263116885656</v>
      </c>
      <c r="E48" s="213">
        <f t="shared" si="11"/>
        <v>3794.42140706496</v>
      </c>
      <c r="I48" s="290">
        <v>0</v>
      </c>
      <c r="J48" s="290">
        <v>0</v>
      </c>
      <c r="K48" s="290">
        <v>0</v>
      </c>
      <c r="N48" s="341" t="s">
        <v>720</v>
      </c>
      <c r="O48" s="342" t="s">
        <v>720</v>
      </c>
      <c r="P48" s="343">
        <v>1.3158375168010403</v>
      </c>
      <c r="Q48" s="286"/>
      <c r="R48" s="286"/>
      <c r="T48" s="345"/>
      <c r="U48" s="132"/>
    </row>
    <row r="49" spans="2:21">
      <c r="B49" s="215">
        <v>2014</v>
      </c>
      <c r="C49" s="213">
        <f t="shared" si="10"/>
        <v>2076635.8761808262</v>
      </c>
      <c r="D49" s="213">
        <f t="shared" si="12"/>
        <v>3459.4595034179274</v>
      </c>
      <c r="E49" s="213">
        <f t="shared" si="11"/>
        <v>3907.5972140023682</v>
      </c>
      <c r="I49" s="290">
        <v>0</v>
      </c>
      <c r="J49" s="290">
        <v>0</v>
      </c>
      <c r="K49" s="290">
        <v>0</v>
      </c>
      <c r="N49" s="291" t="s">
        <v>598</v>
      </c>
      <c r="O49" s="215" t="s">
        <v>727</v>
      </c>
      <c r="P49" s="286">
        <f>1/P47</f>
        <v>0.33068167961492112</v>
      </c>
      <c r="Q49" s="286">
        <f>1/Q47</f>
        <v>0.33068167961492112</v>
      </c>
      <c r="R49" s="286">
        <f>1/R47</f>
        <v>4.0216508154071207</v>
      </c>
      <c r="T49" s="132"/>
      <c r="U49" s="132"/>
    </row>
    <row r="50" spans="2:21">
      <c r="B50" s="215">
        <v>2015</v>
      </c>
      <c r="C50" s="213">
        <f t="shared" si="10"/>
        <v>2138575.4753419352</v>
      </c>
      <c r="D50" s="213">
        <f t="shared" si="12"/>
        <v>3562.6444369990022</v>
      </c>
      <c r="E50" s="213">
        <f t="shared" si="11"/>
        <v>4024.1487037914703</v>
      </c>
      <c r="I50" s="290">
        <v>0</v>
      </c>
      <c r="J50" s="290">
        <v>0</v>
      </c>
      <c r="K50" s="290">
        <v>0</v>
      </c>
      <c r="N50" s="338" t="s">
        <v>728</v>
      </c>
      <c r="O50" s="338"/>
      <c r="P50" s="338"/>
      <c r="Q50" s="338"/>
      <c r="R50" s="338"/>
      <c r="S50" t="s">
        <v>729</v>
      </c>
    </row>
    <row r="51" spans="2:21">
      <c r="B51" s="215">
        <v>2016</v>
      </c>
      <c r="C51" s="213">
        <f t="shared" si="10"/>
        <v>2202362.5403916216</v>
      </c>
      <c r="D51" s="213">
        <f t="shared" si="12"/>
        <v>3668.9070567063682</v>
      </c>
      <c r="E51" s="213">
        <f t="shared" si="11"/>
        <v>4144.1765625684984</v>
      </c>
      <c r="I51" s="290">
        <v>0</v>
      </c>
      <c r="J51" s="290">
        <v>0</v>
      </c>
      <c r="K51" s="290">
        <v>0</v>
      </c>
      <c r="N51" s="338"/>
      <c r="O51" s="338"/>
      <c r="P51" s="338"/>
      <c r="Q51" s="338"/>
      <c r="R51" s="338"/>
    </row>
    <row r="52" spans="2:21">
      <c r="B52" s="215">
        <v>2017</v>
      </c>
      <c r="C52" s="213">
        <f t="shared" si="10"/>
        <v>2268052.1755000064</v>
      </c>
      <c r="D52" s="213">
        <f t="shared" si="12"/>
        <v>3778.3391603593677</v>
      </c>
      <c r="E52" s="213">
        <f t="shared" si="11"/>
        <v>4267.7844796244426</v>
      </c>
      <c r="F52" s="340" t="s">
        <v>712</v>
      </c>
      <c r="G52" s="340"/>
      <c r="I52" s="290">
        <v>0</v>
      </c>
      <c r="J52" s="290">
        <v>0</v>
      </c>
      <c r="K52" s="290">
        <v>0</v>
      </c>
    </row>
    <row r="53" spans="2:21">
      <c r="B53" s="215">
        <v>2018</v>
      </c>
      <c r="C53" s="213">
        <f t="shared" si="10"/>
        <v>2335701.1284234794</v>
      </c>
      <c r="D53" s="213">
        <f t="shared" si="12"/>
        <v>3891.035283821217</v>
      </c>
      <c r="E53" s="213">
        <f t="shared" si="11"/>
        <v>4395.0792369798346</v>
      </c>
      <c r="F53" s="213">
        <v>3891.035283821217</v>
      </c>
      <c r="G53" s="213">
        <v>4395.0792369798346</v>
      </c>
      <c r="I53" s="290">
        <v>0</v>
      </c>
      <c r="J53" s="290">
        <v>0</v>
      </c>
      <c r="K53" s="290">
        <v>0</v>
      </c>
    </row>
    <row r="54" spans="2:21">
      <c r="B54" s="215">
        <v>2019</v>
      </c>
      <c r="C54" s="213">
        <f t="shared" si="10"/>
        <v>2405367.8395277723</v>
      </c>
      <c r="D54" s="213">
        <f t="shared" si="12"/>
        <v>4007.0927826663496</v>
      </c>
      <c r="E54" s="213">
        <f t="shared" si="11"/>
        <v>4526.1708016312668</v>
      </c>
      <c r="F54" s="213">
        <v>4007.0927826663496</v>
      </c>
      <c r="G54" s="213">
        <v>4526.1708016312668</v>
      </c>
      <c r="I54" s="290">
        <v>0</v>
      </c>
      <c r="J54" s="290">
        <v>0</v>
      </c>
      <c r="K54" s="290">
        <v>0</v>
      </c>
    </row>
    <row r="55" spans="2:21">
      <c r="B55" s="215">
        <v>2020</v>
      </c>
      <c r="C55" s="213">
        <f t="shared" si="10"/>
        <v>2477112.4922732408</v>
      </c>
      <c r="D55" s="213">
        <f t="shared" si="12"/>
        <v>4126.6119162836476</v>
      </c>
      <c r="E55" s="213">
        <f t="shared" si="11"/>
        <v>4661.1724205493392</v>
      </c>
      <c r="F55" s="213">
        <v>4126.6119162836476</v>
      </c>
      <c r="G55" s="213">
        <v>4661.1724205493392</v>
      </c>
      <c r="I55" s="285">
        <f>(D55+E55)*(100%-I$42*($M55))+($C55*(I$42*$M55)/$P$48)/$P$47*I$41</f>
        <v>8386.471330007158</v>
      </c>
      <c r="J55" s="285">
        <f t="shared" ref="J55:J67" si="13">(E55+F55)*(100%-J$42*($M55))+($C55*(J$42*$M55)/$P$48)/$P$47*J$41</f>
        <v>7597.7456946965067</v>
      </c>
      <c r="K55" s="285">
        <f t="shared" ref="K55:K67" si="14">(F55+G55)*(100%-K$42*($M55))+($C55*(K$42*$M55)/$P$48)/$P$47*K$41</f>
        <v>6085.4464057715923</v>
      </c>
      <c r="L55" s="285"/>
      <c r="M55" s="289">
        <v>0.2</v>
      </c>
      <c r="O55" s="215" t="s">
        <v>724</v>
      </c>
      <c r="P55" s="215"/>
    </row>
    <row r="56" spans="2:21">
      <c r="B56" s="215">
        <v>2021</v>
      </c>
      <c r="C56" s="213">
        <f t="shared" si="10"/>
        <v>2550997.0652059587</v>
      </c>
      <c r="D56" s="213">
        <f t="shared" si="12"/>
        <v>4249.6959344881989</v>
      </c>
      <c r="E56" s="213">
        <f t="shared" si="11"/>
        <v>4800.2007185100847</v>
      </c>
      <c r="F56" s="213">
        <v>4249.6959344881989</v>
      </c>
      <c r="G56" s="213">
        <v>4800.2007185100847</v>
      </c>
      <c r="I56" s="285">
        <f t="shared" ref="I56:I67" si="15">(D56+E56)*(100%-I$42*($M56))+($C56*(I$42*$M56)/$P$48)/$P$47*I$41</f>
        <v>8223.3307979271012</v>
      </c>
      <c r="J56" s="285">
        <f t="shared" si="13"/>
        <v>6598.8290547028882</v>
      </c>
      <c r="K56" s="285">
        <f>(F56+G56)*(100%-K$42*($M56))+($C56*(K$42*$M56)/$P$48)/$P$47*K$41</f>
        <v>3484.0160942142411</v>
      </c>
      <c r="M56" s="289">
        <v>0.4</v>
      </c>
      <c r="O56" s="215">
        <v>2009</v>
      </c>
      <c r="P56" s="215">
        <v>0</v>
      </c>
    </row>
    <row r="57" spans="2:21">
      <c r="B57" s="215">
        <v>2022</v>
      </c>
      <c r="C57" s="213">
        <f t="shared" si="10"/>
        <v>2627085.3854995565</v>
      </c>
      <c r="D57" s="213">
        <f t="shared" si="12"/>
        <v>4376.4511667164388</v>
      </c>
      <c r="E57" s="213">
        <f t="shared" si="11"/>
        <v>4943.3757988444349</v>
      </c>
      <c r="F57" s="213">
        <v>4376.4511667164388</v>
      </c>
      <c r="G57" s="213">
        <v>4943.3757988444349</v>
      </c>
      <c r="I57" s="285">
        <f t="shared" si="15"/>
        <v>8042.997344138832</v>
      </c>
      <c r="J57" s="285">
        <f t="shared" si="13"/>
        <v>5533.5639661755013</v>
      </c>
      <c r="K57" s="285">
        <f>(F57+G57)*(100%-K$42*($M57))+($C57*(K$42*$M57)/$P$48)/$P$47*K$41</f>
        <v>721.98672917640533</v>
      </c>
      <c r="M57" s="289">
        <v>0.6</v>
      </c>
      <c r="O57" s="215">
        <v>2035</v>
      </c>
      <c r="P57" s="215">
        <v>0</v>
      </c>
    </row>
    <row r="58" spans="2:21">
      <c r="B58" s="215">
        <v>2023</v>
      </c>
      <c r="C58" s="213">
        <f t="shared" si="10"/>
        <v>2705443.1840940374</v>
      </c>
      <c r="D58" s="213">
        <f t="shared" si="12"/>
        <v>4506.9871138816798</v>
      </c>
      <c r="E58" s="213">
        <f t="shared" si="11"/>
        <v>5090.8213471926956</v>
      </c>
      <c r="F58" s="213">
        <v>4506.9871138816798</v>
      </c>
      <c r="G58" s="213">
        <v>5090.8213471926956</v>
      </c>
      <c r="I58" s="285">
        <f t="shared" si="15"/>
        <v>7844.5904826549122</v>
      </c>
      <c r="J58" s="285">
        <f t="shared" si="13"/>
        <v>4398.8811725973601</v>
      </c>
      <c r="K58" s="285">
        <f>(F58+G58)*(100%-K$42*($M58))+($C58*(K$42*$M58)/$P$48)/$P$47*K$41</f>
        <v>-2207.9076854693308</v>
      </c>
      <c r="M58" s="289">
        <v>0.8</v>
      </c>
    </row>
    <row r="59" spans="2:21">
      <c r="B59" s="215">
        <v>2024</v>
      </c>
      <c r="C59" s="213">
        <f t="shared" si="10"/>
        <v>2786138.1524792165</v>
      </c>
      <c r="D59" s="213">
        <f t="shared" si="12"/>
        <v>4641.4165429694249</v>
      </c>
      <c r="E59" s="213">
        <f t="shared" si="11"/>
        <v>5242.6647383537165</v>
      </c>
      <c r="F59" s="213">
        <v>4641.4165429694249</v>
      </c>
      <c r="G59" s="213">
        <v>5242.6647383537165</v>
      </c>
      <c r="I59" s="285">
        <f t="shared" si="15"/>
        <v>7852.8813769947092</v>
      </c>
      <c r="J59" s="285">
        <f t="shared" si="13"/>
        <v>3860.8367441635642</v>
      </c>
      <c r="K59" s="285">
        <f t="shared" si="14"/>
        <v>-3793.4932145795951</v>
      </c>
      <c r="M59" s="289">
        <v>0.9</v>
      </c>
    </row>
    <row r="60" spans="2:21">
      <c r="B60" s="215">
        <v>2025</v>
      </c>
      <c r="C60" s="213">
        <f t="shared" si="10"/>
        <v>2869240.0011718324</v>
      </c>
      <c r="D60" s="213">
        <f t="shared" si="12"/>
        <v>4779.8555844541515</v>
      </c>
      <c r="E60" s="213">
        <f t="shared" si="11"/>
        <v>5399.0371463210322</v>
      </c>
      <c r="F60" s="213">
        <v>4779.8555844541515</v>
      </c>
      <c r="G60" s="213">
        <v>5399.0371463210322</v>
      </c>
      <c r="I60" s="285">
        <f t="shared" si="15"/>
        <v>7854.687964607062</v>
      </c>
      <c r="J60" s="285">
        <f t="shared" si="13"/>
        <v>3286.7824903058122</v>
      </c>
      <c r="K60" s="285">
        <f t="shared" si="14"/>
        <v>-5471.7006772168888</v>
      </c>
      <c r="M60" s="289">
        <v>1</v>
      </c>
    </row>
    <row r="61" spans="2:21">
      <c r="B61" s="215">
        <v>2026</v>
      </c>
      <c r="C61" s="213">
        <f t="shared" si="10"/>
        <v>2954820.5199368508</v>
      </c>
      <c r="D61" s="213">
        <f t="shared" si="12"/>
        <v>4922.4238326217464</v>
      </c>
      <c r="E61" s="213">
        <f t="shared" si="11"/>
        <v>5560.0736576010404</v>
      </c>
      <c r="F61" s="213">
        <v>4922.4238326217464</v>
      </c>
      <c r="G61" s="213">
        <v>5560.0736576010404</v>
      </c>
      <c r="I61" s="285">
        <f t="shared" si="15"/>
        <v>8088.9689137343166</v>
      </c>
      <c r="J61" s="285">
        <f t="shared" si="13"/>
        <v>3384.8170048369325</v>
      </c>
      <c r="K61" s="285">
        <f t="shared" si="14"/>
        <v>-5634.9045159657826</v>
      </c>
      <c r="M61" s="289">
        <v>1</v>
      </c>
    </row>
    <row r="62" spans="2:21">
      <c r="B62" s="215">
        <v>2027</v>
      </c>
      <c r="C62" s="213">
        <f t="shared" si="10"/>
        <v>3042953.6398049826</v>
      </c>
      <c r="D62" s="213">
        <f t="shared" si="12"/>
        <v>5069.2444488842439</v>
      </c>
      <c r="E62" s="213">
        <f t="shared" si="11"/>
        <v>5725.9133879111123</v>
      </c>
      <c r="F62" s="213">
        <v>5069.2444488842439</v>
      </c>
      <c r="G62" s="213">
        <v>5725.9133879111123</v>
      </c>
      <c r="I62" s="285">
        <f t="shared" si="15"/>
        <v>8330.2377360108621</v>
      </c>
      <c r="J62" s="285">
        <f t="shared" si="13"/>
        <v>3485.7755844887884</v>
      </c>
      <c r="K62" s="285">
        <f>(F62+G62)*(100%-K$42*($M62))+($C62*(K$42*$M62)/$P$48)/$P$47*K$41</f>
        <v>-5802.9762183924677</v>
      </c>
      <c r="M62" s="289">
        <v>1</v>
      </c>
    </row>
    <row r="63" spans="2:21">
      <c r="B63" s="215">
        <v>2028</v>
      </c>
      <c r="C63" s="213">
        <f t="shared" si="10"/>
        <v>3133715.4969399925</v>
      </c>
      <c r="D63" s="213">
        <f t="shared" si="12"/>
        <v>5220.4442681761211</v>
      </c>
      <c r="E63" s="213">
        <f t="shared" si="11"/>
        <v>5896.6996023584461</v>
      </c>
      <c r="F63" s="213">
        <v>5220.4442681761211</v>
      </c>
      <c r="G63" s="213">
        <v>5896.6996023584461</v>
      </c>
      <c r="I63" s="285">
        <f t="shared" si="15"/>
        <v>8578.7028579918024</v>
      </c>
      <c r="J63" s="285">
        <f t="shared" si="13"/>
        <v>3589.7454450432051</v>
      </c>
      <c r="K63" s="285">
        <f t="shared" si="14"/>
        <v>-5976.0609777532281</v>
      </c>
      <c r="M63" s="289">
        <v>1</v>
      </c>
    </row>
    <row r="64" spans="2:21">
      <c r="B64" s="215">
        <v>2029</v>
      </c>
      <c r="C64" s="213">
        <f t="shared" si="10"/>
        <v>3227184.4984109649</v>
      </c>
      <c r="D64" s="213">
        <f t="shared" si="12"/>
        <v>5376.1539085240574</v>
      </c>
      <c r="E64" s="213">
        <f t="shared" si="11"/>
        <v>6072.5798392034685</v>
      </c>
      <c r="F64" s="213">
        <v>5376.1539085240574</v>
      </c>
      <c r="G64" s="213">
        <v>6072.5798392034685</v>
      </c>
      <c r="I64" s="285">
        <f t="shared" si="15"/>
        <v>8834.5789229490856</v>
      </c>
      <c r="J64" s="285">
        <f t="shared" si="13"/>
        <v>3696.816403657921</v>
      </c>
      <c r="K64" s="285">
        <f t="shared" si="14"/>
        <v>-6154.3083179682799</v>
      </c>
      <c r="M64" s="289">
        <v>1</v>
      </c>
    </row>
    <row r="65" spans="2:13">
      <c r="B65" s="215">
        <v>2030</v>
      </c>
      <c r="C65" s="213">
        <f t="shared" si="10"/>
        <v>3323441.3899263628</v>
      </c>
      <c r="D65" s="213">
        <f t="shared" si="12"/>
        <v>5536.5078838848376</v>
      </c>
      <c r="E65" s="213">
        <f t="shared" si="11"/>
        <v>6253.7060373147378</v>
      </c>
      <c r="F65" s="213">
        <v>5536.5078838848376</v>
      </c>
      <c r="G65" s="213">
        <v>6253.7060373147378</v>
      </c>
      <c r="I65" s="285">
        <f t="shared" si="15"/>
        <v>9098.086976296905</v>
      </c>
      <c r="J65" s="285">
        <f t="shared" si="13"/>
        <v>3807.0809564575698</v>
      </c>
      <c r="K65" s="285">
        <f t="shared" si="14"/>
        <v>-6337.8722227920271</v>
      </c>
      <c r="M65" s="289">
        <v>1</v>
      </c>
    </row>
    <row r="66" spans="2:13">
      <c r="B66" s="215">
        <v>2031</v>
      </c>
      <c r="C66" s="213">
        <f t="shared" si="10"/>
        <v>3422569.3255883739</v>
      </c>
      <c r="D66" s="213">
        <f t="shared" si="12"/>
        <v>5701.644720348836</v>
      </c>
      <c r="E66" s="213">
        <f t="shared" si="11"/>
        <v>6440.2346674254077</v>
      </c>
      <c r="F66" s="213">
        <v>5701.644720348836</v>
      </c>
      <c r="G66" s="213">
        <v>6440.2346674254077</v>
      </c>
      <c r="I66" s="285">
        <f t="shared" si="15"/>
        <v>9369.454656547683</v>
      </c>
      <c r="J66" s="285">
        <f t="shared" si="13"/>
        <v>3920.6343584389283</v>
      </c>
      <c r="K66" s="285">
        <f t="shared" si="14"/>
        <v>-6526.911268836071</v>
      </c>
      <c r="M66" s="289">
        <v>1</v>
      </c>
    </row>
    <row r="67" spans="2:13">
      <c r="B67" s="215">
        <v>2032</v>
      </c>
      <c r="C67" s="213">
        <f t="shared" si="10"/>
        <v>3524653.9397278219</v>
      </c>
      <c r="D67" s="213">
        <f t="shared" si="12"/>
        <v>5871.7070758095169</v>
      </c>
      <c r="E67" s="213">
        <f t="shared" si="11"/>
        <v>6632.3268673046896</v>
      </c>
      <c r="F67" s="213">
        <v>5871.7070758095169</v>
      </c>
      <c r="G67" s="213">
        <v>6632.3268673046896</v>
      </c>
      <c r="I67" s="285">
        <f t="shared" si="15"/>
        <v>9648.9163919637522</v>
      </c>
      <c r="J67" s="285">
        <f t="shared" si="13"/>
        <v>4037.5747057595186</v>
      </c>
      <c r="K67" s="285">
        <f t="shared" si="14"/>
        <v>-6721.5887625598843</v>
      </c>
      <c r="M67" s="289">
        <v>1</v>
      </c>
    </row>
    <row r="68" spans="2:13" ht="24" customHeight="1">
      <c r="B68" s="338" t="s">
        <v>699</v>
      </c>
      <c r="C68" s="338"/>
      <c r="D68" s="338"/>
      <c r="E68" s="338"/>
      <c r="M68" s="229" t="s">
        <v>730</v>
      </c>
    </row>
    <row r="69" spans="2:13">
      <c r="B69" s="338" t="s">
        <v>700</v>
      </c>
      <c r="C69" s="338"/>
      <c r="D69" s="338"/>
      <c r="E69" s="338"/>
    </row>
    <row r="71" spans="2:13" ht="24" customHeight="1">
      <c r="B71" s="338" t="s">
        <v>701</v>
      </c>
      <c r="C71" s="338"/>
      <c r="D71" s="338"/>
      <c r="E71" s="338"/>
    </row>
  </sheetData>
  <mergeCells count="6">
    <mergeCell ref="N50:R51"/>
    <mergeCell ref="D39:E39"/>
    <mergeCell ref="B68:E68"/>
    <mergeCell ref="B69:E69"/>
    <mergeCell ref="B71:E71"/>
    <mergeCell ref="F52:G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E05D-CE18-4273-9013-D65536674297}">
  <dimension ref="B1:AL64"/>
  <sheetViews>
    <sheetView topLeftCell="V1" zoomScale="120" zoomScaleNormal="120" workbookViewId="0">
      <selection activeCell="G71" sqref="G71"/>
    </sheetView>
  </sheetViews>
  <sheetFormatPr defaultRowHeight="15"/>
  <cols>
    <col min="2" max="2" width="7.140625" bestFit="1" customWidth="1"/>
    <col min="3" max="3" width="11.42578125" customWidth="1"/>
    <col min="4" max="5" width="15.7109375" customWidth="1"/>
    <col min="6" max="6" width="13.85546875" customWidth="1"/>
    <col min="7" max="7" width="19.140625" customWidth="1"/>
    <col min="8" max="8" width="14.7109375" customWidth="1"/>
    <col min="9" max="9" width="5.42578125" customWidth="1"/>
    <col min="10" max="10" width="6.140625" customWidth="1"/>
    <col min="11" max="11" width="13.42578125" customWidth="1"/>
    <col min="12" max="12" width="20.7109375" customWidth="1"/>
    <col min="13" max="14" width="18.85546875" customWidth="1"/>
    <col min="15" max="24" width="11.5703125" customWidth="1"/>
    <col min="25" max="26" width="8.85546875" customWidth="1"/>
    <col min="27" max="29" width="18.7109375" customWidth="1"/>
    <col min="30" max="30" width="8.85546875" customWidth="1"/>
    <col min="33" max="33" width="8.85546875" customWidth="1"/>
    <col min="34" max="34" width="15.28515625" bestFit="1" customWidth="1"/>
  </cols>
  <sheetData>
    <row r="1" spans="2:38" ht="15.75" thickBot="1"/>
    <row r="2" spans="2:38" ht="14.45" customHeight="1" thickTop="1">
      <c r="B2" s="141"/>
      <c r="C2" s="142"/>
      <c r="D2" s="142"/>
      <c r="E2" s="142"/>
      <c r="F2" s="142"/>
      <c r="G2" s="142"/>
      <c r="H2" s="142"/>
      <c r="I2" s="143"/>
      <c r="K2" s="185" t="s">
        <v>490</v>
      </c>
      <c r="L2" s="177">
        <v>58571.951500000003</v>
      </c>
      <c r="M2" s="185" t="s">
        <v>488</v>
      </c>
      <c r="N2" s="176">
        <f>1+(L2*(K15-K6))/M6</f>
        <v>1.3028009460520626</v>
      </c>
      <c r="O2" s="190">
        <v>2017</v>
      </c>
      <c r="P2" s="191">
        <v>2016</v>
      </c>
      <c r="Q2" s="191">
        <v>2015</v>
      </c>
      <c r="R2" s="191">
        <v>2014</v>
      </c>
      <c r="S2" s="191">
        <v>2013</v>
      </c>
      <c r="T2" s="191">
        <v>2012</v>
      </c>
      <c r="U2" s="191">
        <v>2011</v>
      </c>
      <c r="V2" s="191">
        <v>2010</v>
      </c>
      <c r="W2" s="191">
        <v>2009</v>
      </c>
      <c r="X2" s="192" t="s">
        <v>492</v>
      </c>
      <c r="AA2">
        <v>2008</v>
      </c>
    </row>
    <row r="3" spans="2:38" ht="15.75" thickBot="1">
      <c r="B3" s="144"/>
      <c r="C3" s="294" t="s">
        <v>11</v>
      </c>
      <c r="D3" s="295" t="s">
        <v>453</v>
      </c>
      <c r="E3" s="295"/>
      <c r="F3" s="295"/>
      <c r="G3" s="295" t="s">
        <v>451</v>
      </c>
      <c r="H3" s="295"/>
      <c r="I3" s="161"/>
      <c r="J3" s="135"/>
      <c r="K3" s="185" t="s">
        <v>491</v>
      </c>
      <c r="L3" s="177">
        <v>-115871574</v>
      </c>
      <c r="M3" s="185" t="s">
        <v>489</v>
      </c>
      <c r="N3" s="139">
        <f>EXP(LN(N2)/(K15-K6))-1</f>
        <v>2.9826894484276778E-2</v>
      </c>
      <c r="O3" s="193">
        <f>POWER(L15/L6,1/(K15-K6))-1</f>
        <v>3.2763156638990987E-2</v>
      </c>
      <c r="P3" s="194">
        <f>POWER(L14/L6,1/(K14-K6))-1</f>
        <v>3.3724473491374196E-2</v>
      </c>
      <c r="Q3" s="194">
        <f>POWER(L13/L6,1/(K13-K6))-1</f>
        <v>2.1972921420529756E-2</v>
      </c>
      <c r="R3" s="194">
        <f>POWER(L12/L6,1/(K12-K6))-1</f>
        <v>1.7108438511417079E-2</v>
      </c>
      <c r="S3" s="194">
        <f>POWER(L11/L6,1/(K11-K6))-1</f>
        <v>1.6053145881989028E-2</v>
      </c>
      <c r="T3" s="194">
        <f>POWER(L10/L6,1/(K10-K6))-1</f>
        <v>1.0073364250574146E-2</v>
      </c>
      <c r="U3" s="194">
        <f>POWER(L9/L6,1/(K9-K6))-1</f>
        <v>1.8444525404504253E-2</v>
      </c>
      <c r="V3" s="194">
        <f>POWER(L8/L6,1/(K8-K6))-1</f>
        <v>2.8085507926087772E-2</v>
      </c>
      <c r="W3" s="194">
        <f>POWER(L7/L6,1/(K7-K6))-1</f>
        <v>6.8494254603899796E-2</v>
      </c>
      <c r="X3" s="195">
        <f>AVERAGE(O3:W3)</f>
        <v>2.741330979215189E-2</v>
      </c>
      <c r="Y3" s="139"/>
      <c r="Z3" s="139"/>
      <c r="AA3" s="1">
        <f>L2*AA2+L3</f>
        <v>1740904.6120000035</v>
      </c>
      <c r="AB3" s="212">
        <v>1.6658960500000001E-3</v>
      </c>
      <c r="AC3" s="212">
        <v>1.8816958999999999E-3</v>
      </c>
      <c r="AD3" s="139"/>
    </row>
    <row r="4" spans="2:38" ht="45.75" thickTop="1">
      <c r="B4" s="144"/>
      <c r="C4" s="294"/>
      <c r="D4" s="163" t="s">
        <v>470</v>
      </c>
      <c r="E4" s="163" t="s">
        <v>471</v>
      </c>
      <c r="F4" s="163" t="s">
        <v>14</v>
      </c>
      <c r="G4" s="163" t="s">
        <v>468</v>
      </c>
      <c r="H4" s="163" t="s">
        <v>469</v>
      </c>
      <c r="I4" s="146"/>
      <c r="K4" s="57" t="s">
        <v>447</v>
      </c>
      <c r="L4" s="86" t="s">
        <v>480</v>
      </c>
      <c r="M4" s="86" t="s">
        <v>481</v>
      </c>
      <c r="N4" s="86" t="s">
        <v>479</v>
      </c>
      <c r="O4" s="196" t="str">
        <f t="shared" ref="O4:W4" si="0">_xlfn.CONCAT("tmca_",MID(O2,3,2))</f>
        <v>tmca_17</v>
      </c>
      <c r="P4" s="197" t="str">
        <f t="shared" si="0"/>
        <v>tmca_16</v>
      </c>
      <c r="Q4" s="197" t="str">
        <f t="shared" si="0"/>
        <v>tmca_15</v>
      </c>
      <c r="R4" s="197" t="str">
        <f t="shared" si="0"/>
        <v>tmca_14</v>
      </c>
      <c r="S4" s="197" t="str">
        <f t="shared" si="0"/>
        <v>tmca_13</v>
      </c>
      <c r="T4" s="197" t="str">
        <f t="shared" si="0"/>
        <v>tmca_12</v>
      </c>
      <c r="U4" s="197" t="str">
        <f t="shared" si="0"/>
        <v>tmca_11</v>
      </c>
      <c r="V4" s="197" t="str">
        <f t="shared" si="0"/>
        <v>tmca_10</v>
      </c>
      <c r="W4" s="197" t="str">
        <f t="shared" si="0"/>
        <v>tmca_09</v>
      </c>
      <c r="X4" s="198" t="s">
        <v>448</v>
      </c>
      <c r="Y4" s="178"/>
      <c r="Z4" s="214" t="s">
        <v>11</v>
      </c>
      <c r="AA4" s="214" t="s">
        <v>495</v>
      </c>
      <c r="AB4" s="214" t="s">
        <v>497</v>
      </c>
      <c r="AC4" s="214" t="s">
        <v>498</v>
      </c>
      <c r="AD4" s="178"/>
      <c r="AE4" s="141"/>
      <c r="AF4" s="142"/>
      <c r="AG4" s="142"/>
      <c r="AH4" s="142"/>
      <c r="AI4" s="142"/>
      <c r="AJ4" s="142"/>
      <c r="AK4" s="142"/>
      <c r="AL4" s="181"/>
    </row>
    <row r="5" spans="2:38">
      <c r="B5" s="144"/>
      <c r="C5" s="159">
        <v>2008</v>
      </c>
      <c r="D5" s="160">
        <v>1540992</v>
      </c>
      <c r="E5" s="160">
        <v>245917</v>
      </c>
      <c r="F5" s="160">
        <f>D5+E5</f>
        <v>1786909</v>
      </c>
      <c r="G5" s="162"/>
      <c r="H5" s="160"/>
      <c r="I5" s="146"/>
      <c r="L5" s="301" t="s">
        <v>494</v>
      </c>
      <c r="M5" s="301"/>
      <c r="N5" s="301"/>
      <c r="O5" s="301"/>
      <c r="P5" s="301"/>
      <c r="Q5" s="301"/>
      <c r="R5" s="301"/>
      <c r="S5" s="301"/>
      <c r="T5" s="301"/>
      <c r="U5" s="301"/>
      <c r="V5" s="301"/>
      <c r="W5" s="301"/>
      <c r="X5" s="302"/>
      <c r="Y5" s="135"/>
      <c r="Z5" s="215"/>
      <c r="AA5" s="216" t="s">
        <v>496</v>
      </c>
      <c r="AB5" s="216" t="s">
        <v>501</v>
      </c>
      <c r="AC5" s="216" t="s">
        <v>501</v>
      </c>
      <c r="AD5" s="135"/>
      <c r="AE5" s="144"/>
      <c r="AF5" s="145"/>
      <c r="AG5" s="145"/>
      <c r="AH5" s="145"/>
      <c r="AI5" s="145"/>
      <c r="AJ5" s="145"/>
      <c r="AK5" s="145"/>
      <c r="AL5" s="146"/>
    </row>
    <row r="6" spans="2:38">
      <c r="B6" s="144"/>
      <c r="C6" s="159">
        <v>2009</v>
      </c>
      <c r="D6" s="160">
        <v>1660698</v>
      </c>
      <c r="E6" s="160">
        <v>248604</v>
      </c>
      <c r="F6" s="160">
        <f t="shared" ref="F6:F14" si="1">D6+E6</f>
        <v>1909302</v>
      </c>
      <c r="G6" s="162"/>
      <c r="H6" s="160"/>
      <c r="I6" s="146"/>
      <c r="K6">
        <v>2008</v>
      </c>
      <c r="L6" s="1">
        <f t="shared" ref="L6:L15" si="2">F5</f>
        <v>1786909</v>
      </c>
      <c r="M6" s="1">
        <f t="shared" ref="M6:M30" si="3">$L$2*K6+$L$3</f>
        <v>1740904.6120000035</v>
      </c>
      <c r="N6" s="1">
        <f>M6</f>
        <v>1740904.6120000035</v>
      </c>
      <c r="O6" s="186">
        <f>L6</f>
        <v>1786909</v>
      </c>
      <c r="P6" s="140">
        <f>O6</f>
        <v>1786909</v>
      </c>
      <c r="Q6" s="140">
        <f t="shared" ref="Q6:V6" si="4">P6</f>
        <v>1786909</v>
      </c>
      <c r="R6" s="140">
        <f t="shared" si="4"/>
        <v>1786909</v>
      </c>
      <c r="S6" s="140">
        <f t="shared" si="4"/>
        <v>1786909</v>
      </c>
      <c r="T6" s="140">
        <f t="shared" si="4"/>
        <v>1786909</v>
      </c>
      <c r="U6" s="140">
        <f t="shared" si="4"/>
        <v>1786909</v>
      </c>
      <c r="V6" s="140">
        <f t="shared" si="4"/>
        <v>1786909</v>
      </c>
      <c r="W6" s="140">
        <f t="shared" ref="W6" si="5">V6</f>
        <v>1786909</v>
      </c>
      <c r="X6" s="187">
        <f t="shared" ref="X6" si="6">V6</f>
        <v>1786909</v>
      </c>
      <c r="Y6" s="1"/>
      <c r="Z6">
        <v>2008</v>
      </c>
      <c r="AA6" s="213">
        <f>$AA$3*(1+$N$3)^(Z6-$AA$2)</f>
        <v>1740904.6120000035</v>
      </c>
      <c r="AB6" s="213">
        <f>$AB$3*AA6</f>
        <v>2900.1661165575883</v>
      </c>
      <c r="AC6" s="213">
        <f>$AC$3*AA6</f>
        <v>3275.8530706914971</v>
      </c>
      <c r="AD6" s="1"/>
      <c r="AE6" s="144"/>
      <c r="AF6" s="145"/>
      <c r="AG6" s="145"/>
      <c r="AH6" s="145"/>
      <c r="AI6" s="145"/>
      <c r="AJ6" s="145"/>
      <c r="AK6" s="145"/>
      <c r="AL6" s="146"/>
    </row>
    <row r="7" spans="2:38">
      <c r="B7" s="144"/>
      <c r="C7" s="159">
        <v>2010</v>
      </c>
      <c r="D7" s="160">
        <v>1639326</v>
      </c>
      <c r="E7" s="160">
        <v>249365</v>
      </c>
      <c r="F7" s="160">
        <f t="shared" si="1"/>
        <v>1888691</v>
      </c>
      <c r="G7" s="162"/>
      <c r="H7" s="160"/>
      <c r="I7" s="146"/>
      <c r="K7">
        <v>2009</v>
      </c>
      <c r="L7" s="1">
        <f t="shared" si="2"/>
        <v>1909302</v>
      </c>
      <c r="M7" s="1">
        <f t="shared" si="3"/>
        <v>1799476.563500002</v>
      </c>
      <c r="N7" s="1">
        <f t="shared" ref="N7:N30" si="7">N6*(1+$N$3)</f>
        <v>1792830.3901693183</v>
      </c>
      <c r="O7" s="186">
        <f t="shared" ref="O7:O30" si="8">O6*(1+$O$3)</f>
        <v>1845453.7794666227</v>
      </c>
      <c r="P7" s="140">
        <f t="shared" ref="P7:X7" si="9">P6*(1+P$3)</f>
        <v>1847171.565201998</v>
      </c>
      <c r="Q7" s="140">
        <f t="shared" si="9"/>
        <v>1826172.6110426374</v>
      </c>
      <c r="R7" s="140">
        <f t="shared" si="9"/>
        <v>1817480.2227519979</v>
      </c>
      <c r="S7" s="140">
        <f t="shared" si="9"/>
        <v>1815594.5108548391</v>
      </c>
      <c r="T7" s="140">
        <f t="shared" si="9"/>
        <v>1804909.1852396291</v>
      </c>
      <c r="U7" s="140">
        <f t="shared" si="9"/>
        <v>1819867.6884460372</v>
      </c>
      <c r="V7" s="140">
        <f t="shared" si="9"/>
        <v>1837095.2468826976</v>
      </c>
      <c r="W7" s="140">
        <f t="shared" si="9"/>
        <v>1909302</v>
      </c>
      <c r="X7" s="187">
        <f t="shared" si="9"/>
        <v>1835894.0899873842</v>
      </c>
      <c r="Y7" s="1"/>
      <c r="Z7">
        <v>2009</v>
      </c>
      <c r="AA7" s="213">
        <f t="shared" ref="AA7:AA30" si="10">$AA$3*(1+$N$3)^(Z7-$AA$2)</f>
        <v>1792830.3901693183</v>
      </c>
      <c r="AB7" s="213">
        <f t="shared" ref="AB7:AB30" si="11">$AB$3*AA7</f>
        <v>2986.6690653030264</v>
      </c>
      <c r="AC7" s="213">
        <f t="shared" ref="AC7:AC30" si="12">$AC$3*AA7</f>
        <v>3373.5615945770064</v>
      </c>
      <c r="AD7" s="1"/>
      <c r="AE7" s="144"/>
      <c r="AF7" s="145"/>
      <c r="AG7" s="145"/>
      <c r="AH7" s="145"/>
      <c r="AI7" s="145"/>
      <c r="AJ7" s="145"/>
      <c r="AK7" s="145"/>
      <c r="AL7" s="146"/>
    </row>
    <row r="8" spans="2:38">
      <c r="B8" s="144"/>
      <c r="C8" s="159">
        <v>2011</v>
      </c>
      <c r="D8" s="160">
        <v>1642019</v>
      </c>
      <c r="E8" s="160">
        <v>245601</v>
      </c>
      <c r="F8" s="160">
        <f t="shared" si="1"/>
        <v>1887620</v>
      </c>
      <c r="G8" s="162"/>
      <c r="H8" s="160"/>
      <c r="I8" s="146"/>
      <c r="K8">
        <v>2010</v>
      </c>
      <c r="L8" s="1">
        <f t="shared" si="2"/>
        <v>1888691</v>
      </c>
      <c r="M8" s="1">
        <f t="shared" si="3"/>
        <v>1858048.5150000006</v>
      </c>
      <c r="N8" s="1">
        <f t="shared" si="7"/>
        <v>1846304.9530451032</v>
      </c>
      <c r="O8" s="186">
        <f t="shared" si="8"/>
        <v>1905916.6707133057</v>
      </c>
      <c r="P8" s="140">
        <f t="shared" ref="P8:P30" si="13">P7*(1+P$3)</f>
        <v>1909466.453686673</v>
      </c>
      <c r="Q8" s="140">
        <f t="shared" ref="Q8:Q30" si="14">Q7*(1+Q$3)</f>
        <v>1866298.9583254009</v>
      </c>
      <c r="R8" s="140">
        <f t="shared" ref="R8:R30" si="15">R7*(1+R$3)</f>
        <v>1848574.4713886671</v>
      </c>
      <c r="S8" s="140">
        <f t="shared" ref="S8:S30" si="16">S7*(1+S$3)</f>
        <v>1844740.5144001304</v>
      </c>
      <c r="T8" s="140">
        <f t="shared" ref="T8:T30" si="17">T7*(1+T$3)</f>
        <v>1823090.692901755</v>
      </c>
      <c r="U8" s="140">
        <f t="shared" ref="U8:U30" si="18">U7*(1+U$3)</f>
        <v>1853434.2842584166</v>
      </c>
      <c r="V8" s="140">
        <f t="shared" ref="V8:X30" si="19">V7*(1+V$3)</f>
        <v>1888690.9999999998</v>
      </c>
      <c r="W8" s="140">
        <f t="shared" si="19"/>
        <v>2040078.2173037352</v>
      </c>
      <c r="X8" s="187">
        <f t="shared" si="19"/>
        <v>1886222.0234217891</v>
      </c>
      <c r="Y8" s="1"/>
      <c r="Z8">
        <v>2010</v>
      </c>
      <c r="AA8" s="213">
        <f t="shared" si="10"/>
        <v>1846304.9530451035</v>
      </c>
      <c r="AB8" s="213">
        <f t="shared" si="11"/>
        <v>3075.7521283732735</v>
      </c>
      <c r="AC8" s="213">
        <f t="shared" si="12"/>
        <v>3474.1844602946635</v>
      </c>
      <c r="AD8" s="1"/>
      <c r="AE8" s="144"/>
      <c r="AF8" s="145"/>
      <c r="AG8" s="145"/>
      <c r="AH8" s="145"/>
      <c r="AI8" s="145"/>
      <c r="AJ8" s="145"/>
      <c r="AK8" s="145"/>
      <c r="AL8" s="146"/>
    </row>
    <row r="9" spans="2:38">
      <c r="B9" s="144"/>
      <c r="C9" s="159">
        <v>2012</v>
      </c>
      <c r="D9" s="160">
        <v>1601467</v>
      </c>
      <c r="E9" s="160">
        <v>258538</v>
      </c>
      <c r="F9" s="160">
        <f t="shared" si="1"/>
        <v>1860005</v>
      </c>
      <c r="G9" s="162"/>
      <c r="H9" s="160"/>
      <c r="I9" s="146"/>
      <c r="K9">
        <v>2011</v>
      </c>
      <c r="L9" s="1">
        <f t="shared" si="2"/>
        <v>1887620</v>
      </c>
      <c r="M9" s="1">
        <f t="shared" si="3"/>
        <v>1916620.4664999992</v>
      </c>
      <c r="N9" s="1">
        <f t="shared" si="7"/>
        <v>1901374.496065377</v>
      </c>
      <c r="O9" s="186">
        <f t="shared" si="8"/>
        <v>1968360.51713675</v>
      </c>
      <c r="P9" s="140">
        <f t="shared" si="13"/>
        <v>1973862.2044866974</v>
      </c>
      <c r="Q9" s="140">
        <f t="shared" si="14"/>
        <v>1907306.9986839015</v>
      </c>
      <c r="R9" s="140">
        <f t="shared" si="15"/>
        <v>1880200.6940661955</v>
      </c>
      <c r="S9" s="140">
        <f t="shared" si="16"/>
        <v>1874354.402992211</v>
      </c>
      <c r="T9" s="140">
        <f t="shared" si="17"/>
        <v>1841455.3495131859</v>
      </c>
      <c r="U9" s="140">
        <f t="shared" si="18"/>
        <v>1887620.0000000002</v>
      </c>
      <c r="V9" s="140">
        <f t="shared" si="19"/>
        <v>1941735.8460504303</v>
      </c>
      <c r="W9" s="140">
        <f t="shared" si="19"/>
        <v>2179811.8541316073</v>
      </c>
      <c r="X9" s="187">
        <f t="shared" si="19"/>
        <v>1937929.61208663</v>
      </c>
      <c r="Y9" s="1"/>
      <c r="Z9">
        <v>2011</v>
      </c>
      <c r="AA9" s="213">
        <f t="shared" si="10"/>
        <v>1901374.4960653773</v>
      </c>
      <c r="AB9" s="213">
        <f t="shared" si="11"/>
        <v>3167.4922625660524</v>
      </c>
      <c r="AC9" s="213">
        <f t="shared" si="12"/>
        <v>3577.8085936107864</v>
      </c>
      <c r="AD9" s="1"/>
      <c r="AE9" s="144"/>
      <c r="AF9" s="145"/>
      <c r="AG9" s="145"/>
      <c r="AH9" s="145"/>
      <c r="AI9" s="145"/>
      <c r="AJ9" s="145"/>
      <c r="AK9" s="145"/>
      <c r="AL9" s="146"/>
    </row>
    <row r="10" spans="2:38">
      <c r="B10" s="144"/>
      <c r="C10" s="159">
        <v>2013</v>
      </c>
      <c r="D10" s="160">
        <v>1676947</v>
      </c>
      <c r="E10" s="160">
        <v>258069</v>
      </c>
      <c r="F10" s="160">
        <f t="shared" si="1"/>
        <v>1935016</v>
      </c>
      <c r="G10" s="160">
        <f>665.898537528+2571.1213007732</f>
        <v>3237.0198383011998</v>
      </c>
      <c r="H10" s="160">
        <f>513.727021189454+3086.61413121863</f>
        <v>3600.3411524080839</v>
      </c>
      <c r="I10" s="146"/>
      <c r="K10">
        <v>2012</v>
      </c>
      <c r="L10" s="1">
        <f t="shared" si="2"/>
        <v>1860005</v>
      </c>
      <c r="M10" s="1">
        <f t="shared" si="3"/>
        <v>1975192.4180000126</v>
      </c>
      <c r="N10" s="1">
        <f t="shared" si="7"/>
        <v>1958086.592534614</v>
      </c>
      <c r="O10" s="186">
        <f t="shared" si="8"/>
        <v>2032850.2210817067</v>
      </c>
      <c r="P10" s="140">
        <f t="shared" si="13"/>
        <v>2040429.6680775345</v>
      </c>
      <c r="Q10" s="140">
        <f t="shared" si="14"/>
        <v>1949216.1054908093</v>
      </c>
      <c r="R10" s="140">
        <f t="shared" si="15"/>
        <v>1912367.9920297507</v>
      </c>
      <c r="S10" s="140">
        <f t="shared" si="16"/>
        <v>1904443.6876579935</v>
      </c>
      <c r="T10" s="140">
        <f t="shared" si="17"/>
        <v>1860005.0000000005</v>
      </c>
      <c r="U10" s="140">
        <f t="shared" si="18"/>
        <v>1922436.2550440505</v>
      </c>
      <c r="V10" s="140">
        <f t="shared" si="19"/>
        <v>1996270.4835450484</v>
      </c>
      <c r="W10" s="140">
        <f t="shared" si="19"/>
        <v>2329116.4422570965</v>
      </c>
      <c r="X10" s="187">
        <f t="shared" si="19"/>
        <v>1991054.6768981453</v>
      </c>
      <c r="Y10" s="1"/>
      <c r="Z10">
        <v>2012</v>
      </c>
      <c r="AA10" s="213">
        <f t="shared" si="10"/>
        <v>1958086.5925346145</v>
      </c>
      <c r="AB10" s="213">
        <f t="shared" si="11"/>
        <v>3261.9687200613739</v>
      </c>
      <c r="AC10" s="213">
        <f t="shared" si="12"/>
        <v>3684.5235130173546</v>
      </c>
      <c r="AD10" s="1"/>
      <c r="AE10" s="144"/>
      <c r="AF10" s="145"/>
      <c r="AG10" s="145"/>
      <c r="AH10" s="145"/>
      <c r="AI10" s="145"/>
      <c r="AJ10" s="145"/>
      <c r="AK10" s="145"/>
      <c r="AL10" s="146"/>
    </row>
    <row r="11" spans="2:38">
      <c r="B11" s="144"/>
      <c r="C11" s="159">
        <v>2014</v>
      </c>
      <c r="D11" s="160">
        <v>1708423</v>
      </c>
      <c r="E11" s="160">
        <v>269940</v>
      </c>
      <c r="F11" s="160">
        <f t="shared" si="1"/>
        <v>1978363</v>
      </c>
      <c r="G11" s="160">
        <f>696.52942128+2619.3807949988</f>
        <v>3315.9102162787999</v>
      </c>
      <c r="H11" s="160">
        <f>539.720192106257+3144.54933513041</f>
        <v>3684.2695272366668</v>
      </c>
      <c r="I11" s="146"/>
      <c r="K11">
        <v>2013</v>
      </c>
      <c r="L11" s="1">
        <f t="shared" si="2"/>
        <v>1935016</v>
      </c>
      <c r="M11" s="1">
        <f t="shared" si="3"/>
        <v>2033764.3695000112</v>
      </c>
      <c r="N11" s="1">
        <f t="shared" si="7"/>
        <v>2016490.234721221</v>
      </c>
      <c r="O11" s="186">
        <f t="shared" si="8"/>
        <v>2099452.8112986139</v>
      </c>
      <c r="P11" s="140">
        <f t="shared" si="13"/>
        <v>2109242.0843296289</v>
      </c>
      <c r="Q11" s="140">
        <f t="shared" si="14"/>
        <v>1992046.0778083899</v>
      </c>
      <c r="R11" s="140">
        <f t="shared" si="15"/>
        <v>1945085.6222325938</v>
      </c>
      <c r="S11" s="140">
        <f t="shared" si="16"/>
        <v>1935016.0000000005</v>
      </c>
      <c r="T11" s="140">
        <f t="shared" si="17"/>
        <v>1878741.5078728897</v>
      </c>
      <c r="U11" s="140">
        <f t="shared" si="18"/>
        <v>1957894.6793887506</v>
      </c>
      <c r="V11" s="140">
        <f t="shared" si="19"/>
        <v>2052336.754033268</v>
      </c>
      <c r="W11" s="140">
        <f t="shared" si="19"/>
        <v>2488647.5368551835</v>
      </c>
      <c r="X11" s="187">
        <f t="shared" si="19"/>
        <v>2045636.0755690669</v>
      </c>
      <c r="Y11" s="1"/>
      <c r="Z11">
        <v>2013</v>
      </c>
      <c r="AA11" s="213">
        <f t="shared" si="10"/>
        <v>2016490.2347212215</v>
      </c>
      <c r="AB11" s="213">
        <f t="shared" si="11"/>
        <v>3359.263116885656</v>
      </c>
      <c r="AC11" s="213">
        <f t="shared" si="12"/>
        <v>3794.42140706496</v>
      </c>
      <c r="AD11" s="1"/>
      <c r="AE11" s="144"/>
      <c r="AF11" s="145"/>
      <c r="AG11" s="145"/>
      <c r="AH11" s="145"/>
      <c r="AI11" s="145"/>
      <c r="AJ11" s="145"/>
      <c r="AK11" s="145"/>
      <c r="AL11" s="146"/>
    </row>
    <row r="12" spans="2:38">
      <c r="B12" s="144"/>
      <c r="C12" s="159">
        <v>2015</v>
      </c>
      <c r="D12" s="160">
        <v>1804348</v>
      </c>
      <c r="E12" s="160">
        <v>276202</v>
      </c>
      <c r="F12" s="160">
        <f t="shared" si="1"/>
        <v>2080550</v>
      </c>
      <c r="G12" s="160">
        <f>712.687335024+2766.4545014288</f>
        <v>3479.1418364527999</v>
      </c>
      <c r="H12" s="160">
        <f>555.576417195931+3262.06358248384</f>
        <v>3817.6399996797709</v>
      </c>
      <c r="I12" s="146"/>
      <c r="K12">
        <v>2014</v>
      </c>
      <c r="L12" s="1">
        <f t="shared" si="2"/>
        <v>1978363</v>
      </c>
      <c r="M12" s="1">
        <f t="shared" si="3"/>
        <v>2092336.3210000098</v>
      </c>
      <c r="N12" s="1">
        <f t="shared" si="7"/>
        <v>2076635.8761808253</v>
      </c>
      <c r="O12" s="186">
        <f t="shared" si="8"/>
        <v>2168237.5126113603</v>
      </c>
      <c r="P12" s="140">
        <f t="shared" si="13"/>
        <v>2180375.1630894942</v>
      </c>
      <c r="Q12" s="140">
        <f t="shared" si="14"/>
        <v>2035817.1497421481</v>
      </c>
      <c r="R12" s="140">
        <f t="shared" si="15"/>
        <v>1978363.0000000016</v>
      </c>
      <c r="S12" s="140">
        <f t="shared" si="16"/>
        <v>1966079.0941319834</v>
      </c>
      <c r="T12" s="140">
        <f t="shared" si="17"/>
        <v>1897666.7554143663</v>
      </c>
      <c r="U12" s="140">
        <f t="shared" si="18"/>
        <v>1994007.1175420801</v>
      </c>
      <c r="V12" s="140">
        <f t="shared" si="19"/>
        <v>2109977.6742056706</v>
      </c>
      <c r="W12" s="140">
        <f t="shared" si="19"/>
        <v>2659105.5948639107</v>
      </c>
      <c r="X12" s="187">
        <f t="shared" si="19"/>
        <v>2101713.7310306435</v>
      </c>
      <c r="Y12" s="1"/>
      <c r="Z12">
        <v>2014</v>
      </c>
      <c r="AA12" s="213">
        <f t="shared" si="10"/>
        <v>2076635.8761808262</v>
      </c>
      <c r="AB12" s="213">
        <f t="shared" si="11"/>
        <v>3459.4595034179274</v>
      </c>
      <c r="AC12" s="213">
        <f t="shared" si="12"/>
        <v>3907.5972140023682</v>
      </c>
      <c r="AD12" s="1"/>
      <c r="AE12" s="144"/>
      <c r="AF12" s="145"/>
      <c r="AG12" s="145"/>
      <c r="AH12" s="145"/>
      <c r="AI12" s="145"/>
      <c r="AJ12" s="145"/>
      <c r="AK12" s="145"/>
      <c r="AL12" s="146"/>
    </row>
    <row r="13" spans="2:38">
      <c r="B13" s="144"/>
      <c r="C13" s="159">
        <v>2016</v>
      </c>
      <c r="D13" s="160">
        <v>2054634</v>
      </c>
      <c r="E13" s="160">
        <v>275285</v>
      </c>
      <c r="F13" s="160">
        <f t="shared" si="1"/>
        <v>2329919</v>
      </c>
      <c r="G13" s="160">
        <f>710.32118892+3150.1969010904</f>
        <v>3860.5180900104001</v>
      </c>
      <c r="H13" s="160">
        <f>584.597813860607+3839.09608201681</f>
        <v>4423.6938958774172</v>
      </c>
      <c r="I13" s="146"/>
      <c r="K13">
        <v>2015</v>
      </c>
      <c r="L13" s="1">
        <f t="shared" si="2"/>
        <v>2080550</v>
      </c>
      <c r="M13" s="1">
        <f t="shared" si="3"/>
        <v>2150908.2725000083</v>
      </c>
      <c r="N13" s="1">
        <f t="shared" si="7"/>
        <v>2138575.4753419342</v>
      </c>
      <c r="O13" s="186">
        <f t="shared" si="8"/>
        <v>2239275.8178675827</v>
      </c>
      <c r="P13" s="140">
        <f t="shared" si="13"/>
        <v>2253907.1674783565</v>
      </c>
      <c r="Q13" s="140">
        <f t="shared" si="14"/>
        <v>2080549.9999999993</v>
      </c>
      <c r="R13" s="140">
        <f t="shared" si="15"/>
        <v>2012209.7017387643</v>
      </c>
      <c r="S13" s="140">
        <f t="shared" si="16"/>
        <v>1997640.8486456128</v>
      </c>
      <c r="T13" s="140">
        <f t="shared" si="17"/>
        <v>1916782.6438678603</v>
      </c>
      <c r="U13" s="140">
        <f t="shared" si="18"/>
        <v>2030785.6324783473</v>
      </c>
      <c r="V13" s="140">
        <f t="shared" si="19"/>
        <v>2169237.4688984421</v>
      </c>
      <c r="W13" s="140">
        <f t="shared" si="19"/>
        <v>2841239.0504971738</v>
      </c>
      <c r="X13" s="187">
        <f t="shared" si="19"/>
        <v>2159328.6606338057</v>
      </c>
      <c r="Y13" s="1"/>
      <c r="Z13">
        <v>2015</v>
      </c>
      <c r="AA13" s="213">
        <f t="shared" si="10"/>
        <v>2138575.4753419352</v>
      </c>
      <c r="AB13" s="213">
        <f t="shared" si="11"/>
        <v>3562.6444369990022</v>
      </c>
      <c r="AC13" s="213">
        <f t="shared" si="12"/>
        <v>4024.1487037914703</v>
      </c>
      <c r="AD13" s="1"/>
      <c r="AE13" s="144"/>
      <c r="AF13" s="145"/>
      <c r="AG13" s="145"/>
      <c r="AH13" s="145"/>
      <c r="AI13" s="145"/>
      <c r="AJ13" s="145"/>
      <c r="AK13" s="145"/>
      <c r="AL13" s="146"/>
    </row>
    <row r="14" spans="2:38">
      <c r="B14" s="144"/>
      <c r="C14" s="159">
        <v>2017</v>
      </c>
      <c r="D14" s="160">
        <v>2103645</v>
      </c>
      <c r="E14" s="160">
        <v>284766</v>
      </c>
      <c r="F14" s="160">
        <f t="shared" si="1"/>
        <v>2388411</v>
      </c>
      <c r="G14" s="160">
        <f>734.785126992+3225.341330862</f>
        <v>3960.1264578540004</v>
      </c>
      <c r="H14" s="160">
        <f>613.352690758111+3992.00567719057</f>
        <v>4605.358367948681</v>
      </c>
      <c r="I14" s="146"/>
      <c r="K14">
        <v>2016</v>
      </c>
      <c r="L14" s="1">
        <f t="shared" si="2"/>
        <v>2329919</v>
      </c>
      <c r="M14" s="1">
        <f t="shared" si="3"/>
        <v>2209480.2240000069</v>
      </c>
      <c r="N14" s="1">
        <f t="shared" si="7"/>
        <v>2202362.5403916202</v>
      </c>
      <c r="O14" s="186">
        <f t="shared" si="8"/>
        <v>2312641.5622462831</v>
      </c>
      <c r="P14" s="140">
        <f t="shared" si="13"/>
        <v>2329918.9999999986</v>
      </c>
      <c r="Q14" s="140">
        <f t="shared" si="14"/>
        <v>2126265.7616614825</v>
      </c>
      <c r="R14" s="140">
        <f t="shared" si="15"/>
        <v>2046635.4676930388</v>
      </c>
      <c r="S14" s="140">
        <f t="shared" si="16"/>
        <v>2029709.2686087412</v>
      </c>
      <c r="T14" s="140">
        <f t="shared" si="17"/>
        <v>1936091.0936287199</v>
      </c>
      <c r="U14" s="140">
        <f t="shared" si="18"/>
        <v>2068242.5096676964</v>
      </c>
      <c r="V14" s="140">
        <f t="shared" si="19"/>
        <v>2230161.6050247559</v>
      </c>
      <c r="W14" s="140">
        <f t="shared" si="19"/>
        <v>3035847.6014124695</v>
      </c>
      <c r="X14" s="187">
        <f t="shared" si="19"/>
        <v>2218523.0061508324</v>
      </c>
      <c r="Y14" s="1"/>
      <c r="Z14">
        <v>2016</v>
      </c>
      <c r="AA14" s="213">
        <f t="shared" si="10"/>
        <v>2202362.5403916216</v>
      </c>
      <c r="AB14" s="213">
        <f t="shared" si="11"/>
        <v>3668.9070567063682</v>
      </c>
      <c r="AC14" s="213">
        <f t="shared" si="12"/>
        <v>4144.1765625684984</v>
      </c>
      <c r="AD14" s="1"/>
      <c r="AE14" s="144"/>
      <c r="AF14" s="145"/>
      <c r="AG14" s="145"/>
      <c r="AH14" s="145"/>
      <c r="AI14" s="145"/>
      <c r="AJ14" s="145"/>
      <c r="AK14" s="145"/>
      <c r="AL14" s="146"/>
    </row>
    <row r="15" spans="2:38">
      <c r="B15" s="144"/>
      <c r="C15" s="172" t="s">
        <v>474</v>
      </c>
      <c r="D15" s="145"/>
      <c r="E15" s="175"/>
      <c r="F15" s="179"/>
      <c r="G15" s="175"/>
      <c r="H15" s="170"/>
      <c r="I15" s="146"/>
      <c r="K15">
        <v>2017</v>
      </c>
      <c r="L15" s="1">
        <f t="shared" si="2"/>
        <v>2388411</v>
      </c>
      <c r="M15" s="1">
        <f t="shared" si="3"/>
        <v>2268052.1755000055</v>
      </c>
      <c r="N15" s="1">
        <f t="shared" si="7"/>
        <v>2268052.175500005</v>
      </c>
      <c r="O15" s="186">
        <f t="shared" si="8"/>
        <v>2388410.9999999991</v>
      </c>
      <c r="P15" s="140">
        <f t="shared" si="13"/>
        <v>2408494.2915525478</v>
      </c>
      <c r="Q15" s="140">
        <f t="shared" si="14"/>
        <v>2172986.032161633</v>
      </c>
      <c r="R15" s="140">
        <f t="shared" si="15"/>
        <v>2081650.2047473504</v>
      </c>
      <c r="S15" s="140">
        <f t="shared" si="16"/>
        <v>2062292.4875957426</v>
      </c>
      <c r="T15" s="140">
        <f t="shared" si="17"/>
        <v>1955594.0444371344</v>
      </c>
      <c r="U15" s="140">
        <f t="shared" si="18"/>
        <v>2106390.261179938</v>
      </c>
      <c r="V15" s="140">
        <f t="shared" si="19"/>
        <v>2292796.8264591354</v>
      </c>
      <c r="W15" s="140">
        <f t="shared" si="19"/>
        <v>3243785.7199622537</v>
      </c>
      <c r="X15" s="187">
        <f t="shared" si="19"/>
        <v>2279340.0645994609</v>
      </c>
      <c r="Y15" s="1"/>
      <c r="Z15">
        <v>2017</v>
      </c>
      <c r="AA15" s="213">
        <f t="shared" si="10"/>
        <v>2268052.1755000064</v>
      </c>
      <c r="AB15" s="213">
        <f t="shared" si="11"/>
        <v>3778.3391603593677</v>
      </c>
      <c r="AC15" s="213">
        <f t="shared" si="12"/>
        <v>4267.7844796244426</v>
      </c>
      <c r="AD15" s="1"/>
      <c r="AE15" s="144"/>
      <c r="AF15" s="145"/>
      <c r="AG15" s="145"/>
      <c r="AH15" s="145"/>
      <c r="AI15" s="145"/>
      <c r="AJ15" s="145"/>
      <c r="AK15" s="145"/>
      <c r="AL15" s="146"/>
    </row>
    <row r="16" spans="2:38">
      <c r="B16" s="144"/>
      <c r="C16" s="180" t="s">
        <v>455</v>
      </c>
      <c r="D16" s="171" t="s">
        <v>450</v>
      </c>
      <c r="E16" s="173"/>
      <c r="F16" s="172"/>
      <c r="G16" s="172"/>
      <c r="H16" s="174"/>
      <c r="I16" s="146"/>
      <c r="K16">
        <v>2018</v>
      </c>
      <c r="M16" s="1">
        <f t="shared" si="3"/>
        <v>2326624.1270000041</v>
      </c>
      <c r="N16" s="1">
        <f t="shared" si="7"/>
        <v>2335701.128423478</v>
      </c>
      <c r="O16" s="186">
        <f t="shared" si="8"/>
        <v>2466662.8837112882</v>
      </c>
      <c r="P16" s="140">
        <f t="shared" si="13"/>
        <v>2489719.4934421377</v>
      </c>
      <c r="Q16" s="140">
        <f t="shared" si="14"/>
        <v>2220732.8834942295</v>
      </c>
      <c r="R16" s="140">
        <f t="shared" si="15"/>
        <v>2117263.9892775491</v>
      </c>
      <c r="S16" s="140">
        <f t="shared" si="16"/>
        <v>2095398.769750447</v>
      </c>
      <c r="T16" s="140">
        <f t="shared" si="17"/>
        <v>1975293.455573003</v>
      </c>
      <c r="U16" s="140">
        <f t="shared" si="18"/>
        <v>2145241.6298640715</v>
      </c>
      <c r="V16" s="140">
        <f t="shared" si="19"/>
        <v>2357191.1899015624</v>
      </c>
      <c r="W16" s="140">
        <f t="shared" si="19"/>
        <v>3465966.4049458429</v>
      </c>
      <c r="X16" s="187">
        <f t="shared" si="19"/>
        <v>2341824.3199119894</v>
      </c>
      <c r="Y16" s="1"/>
      <c r="Z16">
        <v>2018</v>
      </c>
      <c r="AA16" s="213">
        <f t="shared" si="10"/>
        <v>2335701.1284234794</v>
      </c>
      <c r="AB16" s="213">
        <f t="shared" si="11"/>
        <v>3891.035283821217</v>
      </c>
      <c r="AC16" s="213">
        <f t="shared" si="12"/>
        <v>4395.0792369798346</v>
      </c>
      <c r="AD16" s="1"/>
      <c r="AE16" s="144"/>
      <c r="AF16" s="145"/>
      <c r="AG16" s="145"/>
      <c r="AH16" s="145"/>
      <c r="AI16" s="145"/>
      <c r="AJ16" s="145"/>
      <c r="AK16" s="145"/>
      <c r="AL16" s="146"/>
    </row>
    <row r="17" spans="2:38">
      <c r="B17" s="144"/>
      <c r="C17" s="180" t="s">
        <v>456</v>
      </c>
      <c r="D17" s="171" t="s">
        <v>449</v>
      </c>
      <c r="E17" s="173"/>
      <c r="F17" s="174"/>
      <c r="G17" s="174"/>
      <c r="H17" s="174"/>
      <c r="I17" s="146"/>
      <c r="K17">
        <v>2019</v>
      </c>
      <c r="M17" s="1">
        <f t="shared" si="3"/>
        <v>2385196.0785000026</v>
      </c>
      <c r="N17" s="1">
        <f t="shared" si="7"/>
        <v>2405367.8395277713</v>
      </c>
      <c r="O17" s="186">
        <f t="shared" si="8"/>
        <v>2547478.5461459062</v>
      </c>
      <c r="P17" s="140">
        <f t="shared" ref="P17:X17" si="20">P16*(1+P$3)</f>
        <v>2573683.9724996849</v>
      </c>
      <c r="Q17" s="140">
        <f t="shared" si="20"/>
        <v>2269528.8726392346</v>
      </c>
      <c r="R17" s="140">
        <f t="shared" si="20"/>
        <v>2153487.0700505418</v>
      </c>
      <c r="S17" s="140">
        <f t="shared" si="20"/>
        <v>2129036.5118821911</v>
      </c>
      <c r="T17" s="140">
        <f t="shared" si="20"/>
        <v>1995191.3060527651</v>
      </c>
      <c r="U17" s="140">
        <f t="shared" si="20"/>
        <v>2184809.5936048995</v>
      </c>
      <c r="V17" s="140">
        <f t="shared" si="20"/>
        <v>2423394.1017488469</v>
      </c>
      <c r="W17" s="140">
        <f t="shared" si="20"/>
        <v>3703365.1903347666</v>
      </c>
      <c r="X17" s="187">
        <f t="shared" si="20"/>
        <v>2406021.4754725322</v>
      </c>
      <c r="Y17" s="1"/>
      <c r="Z17">
        <v>2019</v>
      </c>
      <c r="AA17" s="213">
        <f t="shared" si="10"/>
        <v>2405367.8395277723</v>
      </c>
      <c r="AB17" s="213">
        <f t="shared" si="11"/>
        <v>4007.0927826663496</v>
      </c>
      <c r="AC17" s="213">
        <f t="shared" si="12"/>
        <v>4526.1708016312668</v>
      </c>
      <c r="AD17" s="1"/>
      <c r="AE17" s="144"/>
      <c r="AF17" s="145"/>
      <c r="AG17" s="145"/>
      <c r="AH17" s="145"/>
      <c r="AI17" s="145"/>
      <c r="AJ17" s="145"/>
      <c r="AK17" s="145"/>
      <c r="AL17" s="146"/>
    </row>
    <row r="18" spans="2:38">
      <c r="B18" s="144"/>
      <c r="C18" s="180" t="s">
        <v>457</v>
      </c>
      <c r="D18" s="171" t="s">
        <v>452</v>
      </c>
      <c r="E18" s="173"/>
      <c r="F18" s="174"/>
      <c r="G18" s="174"/>
      <c r="H18" s="174"/>
      <c r="I18" s="146"/>
      <c r="K18">
        <v>2020</v>
      </c>
      <c r="M18" s="1">
        <f t="shared" si="3"/>
        <v>2443768.0300000012</v>
      </c>
      <c r="N18" s="1">
        <f t="shared" si="7"/>
        <v>2477112.492273239</v>
      </c>
      <c r="O18" s="186">
        <f t="shared" si="8"/>
        <v>2630941.9847877538</v>
      </c>
      <c r="P18" s="140">
        <f t="shared" si="13"/>
        <v>2660480.1094054254</v>
      </c>
      <c r="Q18" s="140">
        <f t="shared" si="14"/>
        <v>2319397.0522193601</v>
      </c>
      <c r="R18" s="140">
        <f t="shared" si="15"/>
        <v>2190329.8711736333</v>
      </c>
      <c r="S18" s="140">
        <f t="shared" si="16"/>
        <v>2163214.2455955171</v>
      </c>
      <c r="T18" s="140">
        <f t="shared" si="17"/>
        <v>2015289.5948282133</v>
      </c>
      <c r="U18" s="140">
        <f t="shared" si="18"/>
        <v>2225107.3696581498</v>
      </c>
      <c r="V18" s="140">
        <f t="shared" si="19"/>
        <v>2491456.3560015485</v>
      </c>
      <c r="W18" s="140">
        <f t="shared" si="19"/>
        <v>3957024.4285727758</v>
      </c>
      <c r="X18" s="187">
        <f t="shared" si="19"/>
        <v>2471978.4875462311</v>
      </c>
      <c r="Y18" s="1"/>
      <c r="Z18">
        <v>2020</v>
      </c>
      <c r="AA18" s="213">
        <f t="shared" si="10"/>
        <v>2477112.4922732408</v>
      </c>
      <c r="AB18" s="213">
        <f t="shared" si="11"/>
        <v>4126.6119162836476</v>
      </c>
      <c r="AC18" s="213">
        <f t="shared" si="12"/>
        <v>4661.1724205493392</v>
      </c>
      <c r="AD18" s="1"/>
      <c r="AE18" s="144"/>
      <c r="AF18" s="145"/>
      <c r="AG18" s="145"/>
      <c r="AH18" s="145"/>
      <c r="AI18" s="145"/>
      <c r="AJ18" s="145"/>
      <c r="AK18" s="145"/>
      <c r="AL18" s="146"/>
    </row>
    <row r="19" spans="2:38">
      <c r="B19" s="144"/>
      <c r="C19" s="180" t="s">
        <v>458</v>
      </c>
      <c r="D19" s="171" t="s">
        <v>472</v>
      </c>
      <c r="E19" s="173"/>
      <c r="F19" s="174"/>
      <c r="G19" s="174"/>
      <c r="H19" s="174"/>
      <c r="I19" s="146"/>
      <c r="K19">
        <v>2021</v>
      </c>
      <c r="M19" s="1">
        <f t="shared" si="3"/>
        <v>2502339.9814999998</v>
      </c>
      <c r="N19" s="1">
        <f t="shared" si="7"/>
        <v>2550997.0652059568</v>
      </c>
      <c r="O19" s="186">
        <f t="shared" si="8"/>
        <v>2717139.9491434526</v>
      </c>
      <c r="P19" s="140">
        <f t="shared" si="13"/>
        <v>2750203.4003293971</v>
      </c>
      <c r="Q19" s="140">
        <f t="shared" si="14"/>
        <v>2370360.9813907845</v>
      </c>
      <c r="R19" s="140">
        <f t="shared" si="15"/>
        <v>2227802.9950943273</v>
      </c>
      <c r="S19" s="140">
        <f t="shared" si="16"/>
        <v>2197940.6394540588</v>
      </c>
      <c r="T19" s="140">
        <f t="shared" si="17"/>
        <v>2035590.3409873098</v>
      </c>
      <c r="U19" s="140">
        <f t="shared" si="18"/>
        <v>2266148.4190655593</v>
      </c>
      <c r="V19" s="140">
        <f t="shared" si="19"/>
        <v>2561430.1732355319</v>
      </c>
      <c r="W19" s="140">
        <f t="shared" si="19"/>
        <v>4228057.8672572905</v>
      </c>
      <c r="X19" s="187">
        <f t="shared" si="19"/>
        <v>2539743.5996248708</v>
      </c>
      <c r="Y19" s="1"/>
      <c r="Z19">
        <v>2021</v>
      </c>
      <c r="AA19" s="213">
        <f t="shared" si="10"/>
        <v>2550997.0652059587</v>
      </c>
      <c r="AB19" s="213">
        <f t="shared" si="11"/>
        <v>4249.6959344881989</v>
      </c>
      <c r="AC19" s="213">
        <f t="shared" si="12"/>
        <v>4800.2007185100847</v>
      </c>
      <c r="AD19" s="1"/>
      <c r="AE19" s="144"/>
      <c r="AF19" s="184" t="s">
        <v>482</v>
      </c>
      <c r="AG19" s="145"/>
      <c r="AH19" s="145"/>
      <c r="AI19" s="145"/>
      <c r="AJ19" s="145"/>
      <c r="AK19" s="145"/>
      <c r="AL19" s="146"/>
    </row>
    <row r="20" spans="2:38">
      <c r="B20" s="144"/>
      <c r="C20" s="180" t="s">
        <v>459</v>
      </c>
      <c r="D20" s="171" t="s">
        <v>473</v>
      </c>
      <c r="E20" s="175"/>
      <c r="F20" s="172"/>
      <c r="G20" s="172"/>
      <c r="H20" s="172"/>
      <c r="I20" s="146"/>
      <c r="K20">
        <v>2022</v>
      </c>
      <c r="M20" s="1">
        <f t="shared" si="3"/>
        <v>2560911.9329999983</v>
      </c>
      <c r="N20" s="1">
        <f t="shared" si="7"/>
        <v>2627085.3854995547</v>
      </c>
      <c r="O20" s="186">
        <f t="shared" si="8"/>
        <v>2806162.0309072994</v>
      </c>
      <c r="P20" s="140">
        <f t="shared" si="13"/>
        <v>2842952.561999693</v>
      </c>
      <c r="Q20" s="140">
        <f t="shared" si="14"/>
        <v>2422444.7369731739</v>
      </c>
      <c r="R20" s="140">
        <f t="shared" si="15"/>
        <v>2265917.2256514495</v>
      </c>
      <c r="S20" s="140">
        <f t="shared" si="16"/>
        <v>2233224.5011791671</v>
      </c>
      <c r="T20" s="140">
        <f t="shared" si="17"/>
        <v>2056095.5839570253</v>
      </c>
      <c r="U20" s="140">
        <f t="shared" si="18"/>
        <v>2307946.451151391</v>
      </c>
      <c r="V20" s="140">
        <f t="shared" si="19"/>
        <v>2633369.2406680589</v>
      </c>
      <c r="W20" s="140">
        <f t="shared" si="19"/>
        <v>4517655.5392972333</v>
      </c>
      <c r="X20" s="187">
        <f t="shared" si="19"/>
        <v>2609366.3777140221</v>
      </c>
      <c r="Y20" s="1"/>
      <c r="Z20">
        <v>2022</v>
      </c>
      <c r="AA20" s="213">
        <f t="shared" si="10"/>
        <v>2627085.3854995565</v>
      </c>
      <c r="AB20" s="213">
        <f t="shared" si="11"/>
        <v>4376.4511667164388</v>
      </c>
      <c r="AC20" s="213">
        <f t="shared" si="12"/>
        <v>4943.3757988444349</v>
      </c>
      <c r="AD20" s="1"/>
      <c r="AE20" s="144"/>
      <c r="AF20" s="145"/>
      <c r="AG20" s="145" t="s">
        <v>483</v>
      </c>
      <c r="AH20" s="145">
        <v>2008</v>
      </c>
      <c r="AI20" s="145"/>
      <c r="AJ20" s="145"/>
      <c r="AK20" s="145"/>
      <c r="AL20" s="146"/>
    </row>
    <row r="21" spans="2:38">
      <c r="B21" s="144"/>
      <c r="C21" s="145"/>
      <c r="D21" s="145"/>
      <c r="E21" s="147"/>
      <c r="F21" s="145"/>
      <c r="G21" s="145"/>
      <c r="H21" s="145"/>
      <c r="I21" s="146"/>
      <c r="K21">
        <v>2023</v>
      </c>
      <c r="M21" s="1">
        <f t="shared" si="3"/>
        <v>2619483.8845000118</v>
      </c>
      <c r="N21" s="1">
        <f t="shared" si="7"/>
        <v>2705443.1840940355</v>
      </c>
      <c r="O21" s="186">
        <f t="shared" si="8"/>
        <v>2898100.7570803044</v>
      </c>
      <c r="P21" s="140">
        <f t="shared" si="13"/>
        <v>2938829.6403140859</v>
      </c>
      <c r="Q21" s="140">
        <f t="shared" si="14"/>
        <v>2475672.9248242616</v>
      </c>
      <c r="R21" s="140">
        <f t="shared" si="15"/>
        <v>2304683.5311784679</v>
      </c>
      <c r="S21" s="140">
        <f t="shared" si="16"/>
        <v>2269074.7798838285</v>
      </c>
      <c r="T21" s="140">
        <f t="shared" si="17"/>
        <v>2076807.3837082214</v>
      </c>
      <c r="U21" s="140">
        <f t="shared" si="18"/>
        <v>2350515.4281018884</v>
      </c>
      <c r="V21" s="140">
        <f t="shared" si="19"/>
        <v>2707328.7533491575</v>
      </c>
      <c r="W21" s="140">
        <f t="shared" si="19"/>
        <v>4827088.9880185761</v>
      </c>
      <c r="X21" s="187">
        <f t="shared" si="19"/>
        <v>2680897.7465875219</v>
      </c>
      <c r="Y21" s="1"/>
      <c r="Z21">
        <v>2023</v>
      </c>
      <c r="AA21" s="213">
        <f t="shared" si="10"/>
        <v>2705443.1840940374</v>
      </c>
      <c r="AB21" s="213">
        <f t="shared" si="11"/>
        <v>4506.9871138816798</v>
      </c>
      <c r="AC21" s="213">
        <f t="shared" si="12"/>
        <v>5090.8213471926956</v>
      </c>
      <c r="AD21" s="1"/>
      <c r="AE21" s="144"/>
      <c r="AF21" s="145"/>
      <c r="AG21" s="145" t="s">
        <v>484</v>
      </c>
      <c r="AH21" s="145">
        <v>2017</v>
      </c>
      <c r="AI21" s="145"/>
      <c r="AJ21" s="145"/>
      <c r="AK21" s="145"/>
      <c r="AL21" s="146"/>
    </row>
    <row r="22" spans="2:38">
      <c r="B22" s="144"/>
      <c r="C22" s="145"/>
      <c r="D22" s="145"/>
      <c r="E22" s="145"/>
      <c r="F22" s="145"/>
      <c r="G22" s="145"/>
      <c r="H22" s="145"/>
      <c r="I22" s="146"/>
      <c r="K22">
        <v>2024</v>
      </c>
      <c r="M22" s="1">
        <f t="shared" si="3"/>
        <v>2678055.8360000104</v>
      </c>
      <c r="N22" s="1">
        <f t="shared" si="7"/>
        <v>2786138.1524792141</v>
      </c>
      <c r="O22" s="186">
        <f t="shared" si="8"/>
        <v>2993051.6861401047</v>
      </c>
      <c r="P22" s="140">
        <f t="shared" si="13"/>
        <v>3037940.1226145229</v>
      </c>
      <c r="Q22" s="140">
        <f t="shared" si="14"/>
        <v>2530070.691464358</v>
      </c>
      <c r="R22" s="140">
        <f t="shared" si="15"/>
        <v>2344113.0676599103</v>
      </c>
      <c r="S22" s="140">
        <f t="shared" si="16"/>
        <v>2305500.5683424459</v>
      </c>
      <c r="T22" s="140">
        <f t="shared" si="17"/>
        <v>2097727.8209625962</v>
      </c>
      <c r="U22" s="140">
        <f t="shared" si="18"/>
        <v>2393869.5696291928</v>
      </c>
      <c r="V22" s="140">
        <f t="shared" si="19"/>
        <v>2783365.4565098705</v>
      </c>
      <c r="W22" s="140">
        <f t="shared" si="19"/>
        <v>5157716.8501596013</v>
      </c>
      <c r="X22" s="187">
        <f t="shared" si="19"/>
        <v>2754390.0270358073</v>
      </c>
      <c r="Y22" s="1"/>
      <c r="Z22">
        <v>2024</v>
      </c>
      <c r="AA22" s="213">
        <f t="shared" si="10"/>
        <v>2786138.1524792165</v>
      </c>
      <c r="AB22" s="213">
        <f t="shared" si="11"/>
        <v>4641.4165429694249</v>
      </c>
      <c r="AC22" s="213">
        <f t="shared" si="12"/>
        <v>5242.6647383537165</v>
      </c>
      <c r="AD22" s="1"/>
      <c r="AE22" s="144"/>
      <c r="AF22" s="145"/>
      <c r="AG22" s="145" t="s">
        <v>445</v>
      </c>
      <c r="AH22" s="269">
        <f>L2</f>
        <v>58571.951500000003</v>
      </c>
      <c r="AI22" s="145"/>
      <c r="AJ22" s="145"/>
      <c r="AK22" s="145"/>
      <c r="AL22" s="146"/>
    </row>
    <row r="23" spans="2:38">
      <c r="B23" s="144"/>
      <c r="C23" s="145"/>
      <c r="D23" s="145"/>
      <c r="E23" s="145"/>
      <c r="F23" s="145"/>
      <c r="G23" s="145"/>
      <c r="H23" s="145"/>
      <c r="I23" s="146"/>
      <c r="K23">
        <v>2025</v>
      </c>
      <c r="M23" s="1">
        <f t="shared" si="3"/>
        <v>2736627.7875000089</v>
      </c>
      <c r="N23" s="1">
        <f t="shared" si="7"/>
        <v>2869240.0011718296</v>
      </c>
      <c r="O23" s="186">
        <f t="shared" si="8"/>
        <v>3091113.5073617091</v>
      </c>
      <c r="P23" s="140">
        <f t="shared" si="13"/>
        <v>3140393.0537480186</v>
      </c>
      <c r="Q23" s="140">
        <f t="shared" si="14"/>
        <v>2585663.7359562898</v>
      </c>
      <c r="R23" s="140">
        <f t="shared" si="15"/>
        <v>2384217.1819417793</v>
      </c>
      <c r="S23" s="140">
        <f t="shared" si="16"/>
        <v>2342511.1052970556</v>
      </c>
      <c r="T23" s="140">
        <f t="shared" si="17"/>
        <v>2118858.9974017157</v>
      </c>
      <c r="U23" s="140">
        <f t="shared" si="18"/>
        <v>2438023.3577212882</v>
      </c>
      <c r="V23" s="140">
        <f t="shared" si="19"/>
        <v>2861537.6890998771</v>
      </c>
      <c r="W23" s="140">
        <f t="shared" si="19"/>
        <v>5510990.821269257</v>
      </c>
      <c r="X23" s="187">
        <f t="shared" si="19"/>
        <v>2829896.9741353532</v>
      </c>
      <c r="Y23" s="1"/>
      <c r="Z23">
        <v>2025</v>
      </c>
      <c r="AA23" s="213">
        <f t="shared" si="10"/>
        <v>2869240.0011718324</v>
      </c>
      <c r="AB23" s="213">
        <f t="shared" si="11"/>
        <v>4779.8555844541515</v>
      </c>
      <c r="AC23" s="213">
        <f t="shared" si="12"/>
        <v>5399.0371463210322</v>
      </c>
      <c r="AD23" s="1"/>
      <c r="AE23" s="144"/>
      <c r="AF23" s="145"/>
      <c r="AG23" s="145" t="s">
        <v>446</v>
      </c>
      <c r="AH23" s="269">
        <f>L3</f>
        <v>-115871574</v>
      </c>
      <c r="AI23" s="145"/>
      <c r="AJ23" s="145"/>
      <c r="AK23" s="145"/>
      <c r="AL23" s="146"/>
    </row>
    <row r="24" spans="2:38">
      <c r="B24" s="144"/>
      <c r="C24" s="145"/>
      <c r="D24" s="145"/>
      <c r="E24" s="145"/>
      <c r="F24" s="145"/>
      <c r="G24" s="145"/>
      <c r="H24" s="145"/>
      <c r="I24" s="146"/>
      <c r="K24">
        <v>2026</v>
      </c>
      <c r="M24" s="1">
        <f t="shared" si="3"/>
        <v>2795199.7390000075</v>
      </c>
      <c r="N24" s="1">
        <f t="shared" si="7"/>
        <v>2954820.519936848</v>
      </c>
      <c r="O24" s="186">
        <f t="shared" si="8"/>
        <v>3192388.1433923016</v>
      </c>
      <c r="P24" s="140">
        <f t="shared" si="13"/>
        <v>3246301.1560416394</v>
      </c>
      <c r="Q24" s="140">
        <f t="shared" si="14"/>
        <v>2642478.3220463707</v>
      </c>
      <c r="R24" s="140">
        <f t="shared" si="15"/>
        <v>2425007.4149968945</v>
      </c>
      <c r="S24" s="140">
        <f t="shared" si="16"/>
        <v>2380115.7778005684</v>
      </c>
      <c r="T24" s="140">
        <f t="shared" si="17"/>
        <v>2140203.0358781493</v>
      </c>
      <c r="U24" s="140">
        <f t="shared" si="18"/>
        <v>2482991.5414795531</v>
      </c>
      <c r="V24" s="140">
        <f t="shared" si="19"/>
        <v>2941905.4285478909</v>
      </c>
      <c r="W24" s="140">
        <f t="shared" si="19"/>
        <v>5888462.029701028</v>
      </c>
      <c r="X24" s="187">
        <f t="shared" si="19"/>
        <v>2907473.8165671988</v>
      </c>
      <c r="Y24" s="1"/>
      <c r="Z24">
        <v>2026</v>
      </c>
      <c r="AA24" s="213">
        <f t="shared" si="10"/>
        <v>2954820.5199368508</v>
      </c>
      <c r="AB24" s="213">
        <f t="shared" si="11"/>
        <v>4922.4238326217464</v>
      </c>
      <c r="AC24" s="213">
        <f t="shared" si="12"/>
        <v>5560.0736576010404</v>
      </c>
      <c r="AD24" s="1"/>
      <c r="AE24" s="144"/>
      <c r="AF24" s="145"/>
      <c r="AG24" s="145" t="s">
        <v>485</v>
      </c>
      <c r="AH24" s="183">
        <f>N2</f>
        <v>1.3028009460520626</v>
      </c>
      <c r="AI24" s="145"/>
      <c r="AJ24" s="145"/>
      <c r="AK24" s="145"/>
      <c r="AL24" s="146"/>
    </row>
    <row r="25" spans="2:38">
      <c r="B25" s="144"/>
      <c r="C25" s="145"/>
      <c r="D25" s="145"/>
      <c r="E25" s="145"/>
      <c r="F25" s="145"/>
      <c r="G25" s="145"/>
      <c r="H25" s="145"/>
      <c r="I25" s="146"/>
      <c r="K25">
        <v>2027</v>
      </c>
      <c r="M25" s="1">
        <f t="shared" si="3"/>
        <v>2853771.6905000061</v>
      </c>
      <c r="N25" s="1">
        <f t="shared" si="7"/>
        <v>3042953.6398049803</v>
      </c>
      <c r="O25" s="186">
        <f t="shared" si="8"/>
        <v>3296980.856186721</v>
      </c>
      <c r="P25" s="140">
        <f t="shared" si="13"/>
        <v>3355780.9533235831</v>
      </c>
      <c r="Q25" s="140">
        <f t="shared" si="14"/>
        <v>2700541.2905721487</v>
      </c>
      <c r="R25" s="140">
        <f t="shared" si="15"/>
        <v>2466495.5052460996</v>
      </c>
      <c r="S25" s="140">
        <f t="shared" si="16"/>
        <v>2418324.1235976247</v>
      </c>
      <c r="T25" s="140">
        <f t="shared" si="17"/>
        <v>2161762.0806287345</v>
      </c>
      <c r="U25" s="140">
        <f t="shared" si="18"/>
        <v>2528789.1420455417</v>
      </c>
      <c r="V25" s="140">
        <f t="shared" si="19"/>
        <v>3024530.3367791735</v>
      </c>
      <c r="W25" s="140">
        <f t="shared" si="19"/>
        <v>6291787.847188767</v>
      </c>
      <c r="X25" s="187">
        <f t="shared" si="19"/>
        <v>2987177.2970133256</v>
      </c>
      <c r="Y25" s="1"/>
      <c r="Z25">
        <v>2027</v>
      </c>
      <c r="AA25" s="213">
        <f t="shared" si="10"/>
        <v>3042953.6398049826</v>
      </c>
      <c r="AB25" s="213">
        <f t="shared" si="11"/>
        <v>5069.2444488842439</v>
      </c>
      <c r="AC25" s="213">
        <f t="shared" si="12"/>
        <v>5725.9133879111123</v>
      </c>
      <c r="AD25" s="1"/>
      <c r="AE25" s="144"/>
      <c r="AF25" s="145"/>
      <c r="AG25" s="145" t="s">
        <v>486</v>
      </c>
      <c r="AH25" s="182">
        <f>N3</f>
        <v>2.9826894484276778E-2</v>
      </c>
      <c r="AI25" s="145"/>
      <c r="AJ25" s="145"/>
      <c r="AK25" s="145"/>
      <c r="AL25" s="146"/>
    </row>
    <row r="26" spans="2:38" ht="15.75" thickBot="1">
      <c r="B26" s="144"/>
      <c r="C26" s="145"/>
      <c r="D26" s="145"/>
      <c r="E26" s="145"/>
      <c r="F26" s="145"/>
      <c r="G26" s="145"/>
      <c r="H26" s="145"/>
      <c r="I26" s="146"/>
      <c r="K26">
        <v>2028</v>
      </c>
      <c r="M26" s="1">
        <f t="shared" si="3"/>
        <v>2912343.6420000046</v>
      </c>
      <c r="N26" s="1">
        <f t="shared" si="7"/>
        <v>3133715.4969399893</v>
      </c>
      <c r="O26" s="186">
        <f t="shared" si="8"/>
        <v>3405000.3564137211</v>
      </c>
      <c r="P26" s="140">
        <f t="shared" si="13"/>
        <v>3468952.8991268026</v>
      </c>
      <c r="Q26" s="140">
        <f t="shared" si="14"/>
        <v>2759880.0721427868</v>
      </c>
      <c r="R26" s="140">
        <f t="shared" si="15"/>
        <v>2508693.3919362891</v>
      </c>
      <c r="S26" s="140">
        <f t="shared" si="16"/>
        <v>2457145.8335436708</v>
      </c>
      <c r="T26" s="140">
        <f t="shared" si="17"/>
        <v>2183538.2974899868</v>
      </c>
      <c r="U26" s="140">
        <f t="shared" si="18"/>
        <v>2575431.4576186351</v>
      </c>
      <c r="V26" s="140">
        <f t="shared" si="19"/>
        <v>3109475.8075254778</v>
      </c>
      <c r="W26" s="140">
        <f t="shared" si="19"/>
        <v>6722739.1659078375</v>
      </c>
      <c r="X26" s="187">
        <f>X25*(1+X$3)</f>
        <v>3069065.7136604348</v>
      </c>
      <c r="Y26" s="1"/>
      <c r="Z26">
        <v>2028</v>
      </c>
      <c r="AA26" s="213">
        <f t="shared" si="10"/>
        <v>3133715.4969399925</v>
      </c>
      <c r="AB26" s="213">
        <f t="shared" si="11"/>
        <v>5220.4442681761211</v>
      </c>
      <c r="AC26" s="213">
        <f t="shared" si="12"/>
        <v>5896.6996023584461</v>
      </c>
      <c r="AD26" s="1"/>
      <c r="AE26" s="156"/>
      <c r="AF26" s="157"/>
      <c r="AG26" s="157"/>
      <c r="AH26" s="157"/>
      <c r="AI26" s="157"/>
      <c r="AJ26" s="157"/>
      <c r="AK26" s="157"/>
      <c r="AL26" s="158"/>
    </row>
    <row r="27" spans="2:38" ht="15.75" thickTop="1">
      <c r="B27" s="144"/>
      <c r="C27" s="145"/>
      <c r="D27" s="145"/>
      <c r="E27" s="145"/>
      <c r="F27" s="145"/>
      <c r="G27" s="145"/>
      <c r="H27" s="145"/>
      <c r="I27" s="146"/>
      <c r="K27">
        <v>2029</v>
      </c>
      <c r="M27" s="1">
        <f t="shared" si="3"/>
        <v>2970915.5935000032</v>
      </c>
      <c r="N27" s="1">
        <f t="shared" si="7"/>
        <v>3227184.4984109611</v>
      </c>
      <c r="O27" s="186">
        <f t="shared" si="8"/>
        <v>3516558.916446724</v>
      </c>
      <c r="P27" s="140">
        <f t="shared" si="13"/>
        <v>3585941.5092162299</v>
      </c>
      <c r="Q27" s="140">
        <f t="shared" si="14"/>
        <v>2820522.7000980661</v>
      </c>
      <c r="R27" s="140">
        <f t="shared" si="15"/>
        <v>2551613.2185762296</v>
      </c>
      <c r="S27" s="140">
        <f t="shared" si="16"/>
        <v>2496590.7540628691</v>
      </c>
      <c r="T27" s="140">
        <f t="shared" si="17"/>
        <v>2205533.8741156817</v>
      </c>
      <c r="U27" s="140">
        <f t="shared" si="18"/>
        <v>2622934.0685662413</v>
      </c>
      <c r="V27" s="140">
        <f t="shared" si="19"/>
        <v>3196807.014963713</v>
      </c>
      <c r="W27" s="140">
        <f t="shared" si="19"/>
        <v>7183208.1739731375</v>
      </c>
      <c r="X27" s="187">
        <f>X26*(1+X$3)</f>
        <v>3153198.96284148</v>
      </c>
      <c r="Y27" s="1"/>
      <c r="Z27">
        <v>2029</v>
      </c>
      <c r="AA27" s="213">
        <f t="shared" si="10"/>
        <v>3227184.4984109649</v>
      </c>
      <c r="AB27" s="213">
        <f t="shared" si="11"/>
        <v>5376.1539085240574</v>
      </c>
      <c r="AC27" s="213">
        <f t="shared" si="12"/>
        <v>6072.5798392034685</v>
      </c>
      <c r="AD27" s="1"/>
    </row>
    <row r="28" spans="2:38">
      <c r="B28" s="144"/>
      <c r="C28" s="145"/>
      <c r="D28" s="145"/>
      <c r="E28" s="145"/>
      <c r="F28" s="145"/>
      <c r="G28" s="145"/>
      <c r="H28" s="145"/>
      <c r="I28" s="146"/>
      <c r="K28">
        <v>2030</v>
      </c>
      <c r="M28" s="1">
        <f t="shared" si="3"/>
        <v>3029487.5450000018</v>
      </c>
      <c r="N28" s="1">
        <f t="shared" si="7"/>
        <v>3323441.3899263586</v>
      </c>
      <c r="O28" s="186">
        <f t="shared" si="8"/>
        <v>3631772.4870565082</v>
      </c>
      <c r="P28" s="140">
        <f t="shared" si="13"/>
        <v>3706875.4985854109</v>
      </c>
      <c r="Q28" s="140">
        <f t="shared" si="14"/>
        <v>2882497.8237521416</v>
      </c>
      <c r="R28" s="140">
        <f t="shared" si="15"/>
        <v>2595267.3364311601</v>
      </c>
      <c r="S28" s="140">
        <f t="shared" si="16"/>
        <v>2536668.8896454652</v>
      </c>
      <c r="T28" s="140">
        <f t="shared" si="17"/>
        <v>2227751.0201966288</v>
      </c>
      <c r="U28" s="140">
        <f t="shared" si="18"/>
        <v>2671312.8426282508</v>
      </c>
      <c r="V28" s="140">
        <f t="shared" si="19"/>
        <v>3286590.9637206495</v>
      </c>
      <c r="W28" s="140">
        <f t="shared" si="19"/>
        <v>7675216.6635140674</v>
      </c>
      <c r="X28" s="187">
        <f t="shared" si="19"/>
        <v>3239638.5828461456</v>
      </c>
      <c r="Y28" s="1"/>
      <c r="Z28">
        <v>2030</v>
      </c>
      <c r="AA28" s="213">
        <f t="shared" si="10"/>
        <v>3323441.3899263628</v>
      </c>
      <c r="AB28" s="213">
        <f t="shared" si="11"/>
        <v>5536.5078838848376</v>
      </c>
      <c r="AC28" s="213">
        <f t="shared" si="12"/>
        <v>6253.7060373147378</v>
      </c>
      <c r="AD28" s="1"/>
    </row>
    <row r="29" spans="2:38">
      <c r="B29" s="144"/>
      <c r="C29" s="145"/>
      <c r="D29" s="145"/>
      <c r="E29" s="145"/>
      <c r="F29" s="145"/>
      <c r="G29" s="145"/>
      <c r="H29" s="145"/>
      <c r="I29" s="146"/>
      <c r="K29">
        <v>2031</v>
      </c>
      <c r="M29" s="1">
        <f t="shared" si="3"/>
        <v>3088059.4965000004</v>
      </c>
      <c r="N29" s="1">
        <f t="shared" si="7"/>
        <v>3422569.3255883702</v>
      </c>
      <c r="O29" s="186">
        <f t="shared" si="8"/>
        <v>3750760.8179271184</v>
      </c>
      <c r="P29" s="140">
        <f t="shared" si="13"/>
        <v>3831887.9230732792</v>
      </c>
      <c r="Q29" s="140">
        <f t="shared" si="14"/>
        <v>2945834.7219282952</v>
      </c>
      <c r="R29" s="140">
        <f t="shared" si="15"/>
        <v>2639668.3080771817</v>
      </c>
      <c r="S29" s="140">
        <f t="shared" si="16"/>
        <v>2577390.405385247</v>
      </c>
      <c r="T29" s="140">
        <f t="shared" si="17"/>
        <v>2250191.9676826578</v>
      </c>
      <c r="U29" s="140">
        <f t="shared" si="18"/>
        <v>2720583.9402174861</v>
      </c>
      <c r="V29" s="140">
        <f t="shared" si="19"/>
        <v>3378896.5402820343</v>
      </c>
      <c r="W29" s="140">
        <f t="shared" si="19"/>
        <v>8200924.9078048943</v>
      </c>
      <c r="X29" s="187">
        <f t="shared" si="19"/>
        <v>3328447.7989323149</v>
      </c>
      <c r="Y29" s="1"/>
      <c r="Z29">
        <v>2031</v>
      </c>
      <c r="AA29" s="213">
        <f t="shared" si="10"/>
        <v>3422569.3255883739</v>
      </c>
      <c r="AB29" s="213">
        <f t="shared" si="11"/>
        <v>5701.644720348836</v>
      </c>
      <c r="AC29" s="213">
        <f t="shared" si="12"/>
        <v>6440.2346674254077</v>
      </c>
      <c r="AD29" s="1"/>
    </row>
    <row r="30" spans="2:38">
      <c r="B30" s="144"/>
      <c r="C30" s="145"/>
      <c r="D30" s="145"/>
      <c r="E30" s="145"/>
      <c r="F30" s="145"/>
      <c r="G30" s="145"/>
      <c r="H30" s="145"/>
      <c r="I30" s="146"/>
      <c r="K30">
        <v>2032</v>
      </c>
      <c r="L30" s="210"/>
      <c r="M30" s="1">
        <f t="shared" si="3"/>
        <v>3146631.4479999989</v>
      </c>
      <c r="N30" s="1">
        <f t="shared" si="7"/>
        <v>3524653.9397278167</v>
      </c>
      <c r="O30" s="186">
        <f t="shared" si="8"/>
        <v>3873647.5821202546</v>
      </c>
      <c r="P30" s="140">
        <f t="shared" si="13"/>
        <v>3961116.3257568809</v>
      </c>
      <c r="Q30" s="140">
        <f t="shared" si="14"/>
        <v>3010563.3167910939</v>
      </c>
      <c r="R30" s="140">
        <f t="shared" si="15"/>
        <v>2684828.9110164563</v>
      </c>
      <c r="S30" s="140">
        <f t="shared" si="16"/>
        <v>2618765.6295577353</v>
      </c>
      <c r="T30" s="140">
        <f t="shared" si="17"/>
        <v>2272858.9710068414</v>
      </c>
      <c r="U30" s="140">
        <f t="shared" si="18"/>
        <v>2770763.8198179137</v>
      </c>
      <c r="V30" s="140">
        <f t="shared" si="19"/>
        <v>3473794.5658455561</v>
      </c>
      <c r="W30" s="140">
        <f t="shared" si="19"/>
        <v>8762641.1464275457</v>
      </c>
      <c r="X30" s="187">
        <f t="shared" si="19"/>
        <v>3419691.5695714522</v>
      </c>
      <c r="Y30" s="1"/>
      <c r="Z30">
        <v>2032</v>
      </c>
      <c r="AA30" s="213">
        <f t="shared" si="10"/>
        <v>3524653.9397278219</v>
      </c>
      <c r="AB30" s="213">
        <f t="shared" si="11"/>
        <v>5871.7070758095169</v>
      </c>
      <c r="AC30" s="213">
        <f t="shared" si="12"/>
        <v>6632.3268673046896</v>
      </c>
      <c r="AD30" s="1"/>
    </row>
    <row r="31" spans="2:38">
      <c r="B31" s="144"/>
      <c r="C31" s="145"/>
      <c r="D31" s="145"/>
      <c r="E31" s="145"/>
      <c r="F31" s="145"/>
      <c r="G31" s="145"/>
      <c r="H31" s="145"/>
      <c r="I31" s="146"/>
      <c r="L31" s="211" t="s">
        <v>449</v>
      </c>
      <c r="O31" s="188"/>
      <c r="P31" s="50"/>
      <c r="Q31" s="50"/>
      <c r="R31" s="50"/>
      <c r="S31" s="50"/>
      <c r="T31" s="50"/>
      <c r="U31" s="50"/>
      <c r="V31" s="50"/>
      <c r="W31" s="50"/>
      <c r="X31" s="189"/>
    </row>
    <row r="32" spans="2:38">
      <c r="B32" s="144"/>
      <c r="C32" s="145"/>
      <c r="D32" s="145"/>
      <c r="E32" s="145"/>
      <c r="F32" s="145"/>
      <c r="G32" s="145"/>
      <c r="H32" s="145"/>
      <c r="I32" s="146"/>
      <c r="L32" s="211" t="s">
        <v>450</v>
      </c>
      <c r="O32" s="188"/>
      <c r="P32" s="50"/>
      <c r="Q32" s="50"/>
      <c r="R32" s="50"/>
      <c r="S32" s="50"/>
      <c r="T32" s="50"/>
      <c r="U32" s="50"/>
      <c r="V32" s="50"/>
      <c r="W32" s="50"/>
      <c r="X32" s="189"/>
    </row>
    <row r="33" spans="2:24">
      <c r="B33" s="144"/>
      <c r="C33" s="145"/>
      <c r="D33" s="145"/>
      <c r="E33" s="145"/>
      <c r="F33" s="145"/>
      <c r="G33" s="145"/>
      <c r="H33" s="145"/>
      <c r="I33" s="146"/>
      <c r="L33" s="211" t="s">
        <v>449</v>
      </c>
      <c r="O33" s="188"/>
      <c r="P33" s="50"/>
      <c r="Q33" s="50"/>
      <c r="R33" s="50"/>
      <c r="S33" s="50"/>
      <c r="T33" s="50"/>
      <c r="U33" s="50"/>
      <c r="V33" s="50"/>
      <c r="W33" s="50"/>
      <c r="X33" s="189"/>
    </row>
    <row r="34" spans="2:24">
      <c r="B34" s="144"/>
      <c r="C34" s="145"/>
      <c r="D34" s="145"/>
      <c r="E34" s="145"/>
      <c r="F34" s="145"/>
      <c r="G34" s="145"/>
      <c r="H34" s="145"/>
      <c r="I34" s="146"/>
      <c r="L34" s="132"/>
      <c r="O34" s="188"/>
      <c r="P34" s="50"/>
      <c r="Q34" s="50"/>
      <c r="R34" s="50"/>
      <c r="S34" s="50"/>
      <c r="T34" s="50"/>
      <c r="U34" s="50"/>
      <c r="V34" s="50"/>
      <c r="W34" s="50"/>
      <c r="X34" s="189"/>
    </row>
    <row r="35" spans="2:24">
      <c r="B35" s="144"/>
      <c r="C35" s="145"/>
      <c r="D35" s="145"/>
      <c r="E35" s="145"/>
      <c r="F35" s="145"/>
      <c r="G35" s="145"/>
      <c r="H35" s="145"/>
      <c r="I35" s="146"/>
      <c r="L35" s="132"/>
      <c r="O35" s="304" t="s">
        <v>487</v>
      </c>
      <c r="P35" s="305"/>
      <c r="Q35" s="305"/>
      <c r="R35" s="305"/>
      <c r="S35" s="305"/>
      <c r="T35" s="305"/>
      <c r="U35" s="305"/>
      <c r="V35" s="305"/>
      <c r="W35" s="305"/>
      <c r="X35" s="306"/>
    </row>
    <row r="36" spans="2:24" ht="15.75" thickBot="1">
      <c r="B36" s="144"/>
      <c r="C36" s="145"/>
      <c r="D36" s="145"/>
      <c r="E36" s="148"/>
      <c r="F36" s="145"/>
      <c r="G36" s="145"/>
      <c r="H36" s="145"/>
      <c r="I36" s="146"/>
      <c r="L36" s="132"/>
      <c r="O36" s="304"/>
      <c r="P36" s="305"/>
      <c r="Q36" s="305"/>
      <c r="R36" s="305"/>
      <c r="S36" s="305"/>
      <c r="T36" s="305"/>
      <c r="U36" s="305"/>
      <c r="V36" s="305"/>
      <c r="W36" s="305"/>
      <c r="X36" s="306"/>
    </row>
    <row r="37" spans="2:24" ht="15.75" thickTop="1">
      <c r="B37" s="144"/>
      <c r="C37" s="296" t="s">
        <v>463</v>
      </c>
      <c r="D37" s="297"/>
      <c r="E37" s="297"/>
      <c r="F37" s="297"/>
      <c r="G37" s="297"/>
      <c r="H37" s="298"/>
      <c r="I37" s="146"/>
      <c r="O37" s="304"/>
      <c r="P37" s="305"/>
      <c r="Q37" s="305"/>
      <c r="R37" s="305"/>
      <c r="S37" s="305"/>
      <c r="T37" s="305"/>
      <c r="U37" s="305"/>
      <c r="V37" s="305"/>
      <c r="W37" s="305"/>
      <c r="X37" s="306"/>
    </row>
    <row r="38" spans="2:24">
      <c r="B38" s="144"/>
      <c r="C38" s="149"/>
      <c r="D38" s="145"/>
      <c r="E38" s="145"/>
      <c r="F38" s="145"/>
      <c r="G38" s="145"/>
      <c r="H38" s="150"/>
      <c r="I38" s="146"/>
      <c r="O38" s="304"/>
      <c r="P38" s="305"/>
      <c r="Q38" s="305"/>
      <c r="R38" s="305"/>
      <c r="S38" s="305"/>
      <c r="T38" s="305"/>
      <c r="U38" s="305"/>
      <c r="V38" s="305"/>
      <c r="W38" s="305"/>
      <c r="X38" s="306"/>
    </row>
    <row r="39" spans="2:24" ht="18">
      <c r="B39" s="144"/>
      <c r="C39" s="151" t="s">
        <v>499</v>
      </c>
      <c r="D39" s="152"/>
      <c r="E39" s="152" t="s">
        <v>475</v>
      </c>
      <c r="F39" s="152"/>
      <c r="G39" s="152"/>
      <c r="H39" s="153" t="s">
        <v>462</v>
      </c>
      <c r="I39" s="146"/>
      <c r="O39" s="304"/>
      <c r="P39" s="305"/>
      <c r="Q39" s="305"/>
      <c r="R39" s="305"/>
      <c r="S39" s="305"/>
      <c r="T39" s="305"/>
      <c r="U39" s="305"/>
      <c r="V39" s="305"/>
      <c r="W39" s="305"/>
      <c r="X39" s="306"/>
    </row>
    <row r="40" spans="2:24" ht="18">
      <c r="B40" s="144"/>
      <c r="C40" s="151" t="s">
        <v>500</v>
      </c>
      <c r="D40" s="152"/>
      <c r="E40" s="152" t="s">
        <v>476</v>
      </c>
      <c r="F40" s="152"/>
      <c r="G40" s="152"/>
      <c r="H40" s="153" t="s">
        <v>462</v>
      </c>
      <c r="I40" s="146"/>
      <c r="O40" s="304"/>
      <c r="P40" s="305"/>
      <c r="Q40" s="305"/>
      <c r="R40" s="305"/>
      <c r="S40" s="305"/>
      <c r="T40" s="305"/>
      <c r="U40" s="305"/>
      <c r="V40" s="305"/>
      <c r="W40" s="305"/>
      <c r="X40" s="306"/>
    </row>
    <row r="41" spans="2:24">
      <c r="B41" s="144"/>
      <c r="C41" s="151"/>
      <c r="D41" s="152"/>
      <c r="E41" s="152"/>
      <c r="F41" s="152"/>
      <c r="G41" s="152"/>
      <c r="H41" s="153"/>
      <c r="I41" s="146"/>
      <c r="O41" s="304"/>
      <c r="P41" s="305"/>
      <c r="Q41" s="305"/>
      <c r="R41" s="305"/>
      <c r="S41" s="305"/>
      <c r="T41" s="305"/>
      <c r="U41" s="305"/>
      <c r="V41" s="305"/>
      <c r="W41" s="305"/>
      <c r="X41" s="306"/>
    </row>
    <row r="42" spans="2:24" ht="15.75" thickBot="1">
      <c r="B42" s="144"/>
      <c r="C42" s="166" t="s">
        <v>466</v>
      </c>
      <c r="D42" s="154" t="s">
        <v>467</v>
      </c>
      <c r="E42" s="155"/>
      <c r="F42" s="155"/>
      <c r="G42" s="155"/>
      <c r="H42" s="168"/>
      <c r="I42" s="146"/>
      <c r="O42" s="307"/>
      <c r="P42" s="308"/>
      <c r="Q42" s="308"/>
      <c r="R42" s="308"/>
      <c r="S42" s="308"/>
      <c r="T42" s="308"/>
      <c r="U42" s="308"/>
      <c r="V42" s="308"/>
      <c r="W42" s="308"/>
      <c r="X42" s="309"/>
    </row>
    <row r="43" spans="2:24" ht="16.5" thickTop="1" thickBot="1">
      <c r="B43" s="144"/>
      <c r="C43" s="167" t="s">
        <v>477</v>
      </c>
      <c r="D43" s="164" t="s">
        <v>478</v>
      </c>
      <c r="E43" s="165"/>
      <c r="F43" s="165"/>
      <c r="G43" s="165"/>
      <c r="H43" s="169"/>
      <c r="I43" s="146"/>
    </row>
    <row r="44" spans="2:24" ht="16.5" thickTop="1" thickBot="1">
      <c r="B44" s="156"/>
      <c r="C44" s="157"/>
      <c r="D44" s="157"/>
      <c r="E44" s="157"/>
      <c r="F44" s="157"/>
      <c r="G44" s="157"/>
      <c r="H44" s="157"/>
      <c r="I44" s="158"/>
    </row>
    <row r="45" spans="2:24" ht="15.75" thickTop="1"/>
    <row r="46" spans="2:24">
      <c r="B46" s="208"/>
      <c r="C46" s="209"/>
      <c r="L46" s="1"/>
    </row>
    <row r="47" spans="2:24">
      <c r="B47" s="208"/>
      <c r="C47" s="209"/>
    </row>
    <row r="48" spans="2:24">
      <c r="B48" s="208"/>
      <c r="C48" s="209"/>
    </row>
    <row r="49" spans="3:12">
      <c r="C49" t="s">
        <v>493</v>
      </c>
    </row>
    <row r="50" spans="3:12">
      <c r="C50" s="311" t="s">
        <v>11</v>
      </c>
      <c r="D50" s="310" t="s">
        <v>453</v>
      </c>
      <c r="E50" s="310"/>
      <c r="F50" s="310"/>
      <c r="G50" s="203" t="s">
        <v>451</v>
      </c>
      <c r="H50" s="203"/>
      <c r="I50" s="303" t="s">
        <v>454</v>
      </c>
      <c r="J50" s="303"/>
      <c r="K50" s="303"/>
    </row>
    <row r="51" spans="3:12" ht="14.45" customHeight="1">
      <c r="C51" s="311"/>
      <c r="D51" s="199" t="s">
        <v>470</v>
      </c>
      <c r="E51" s="199" t="s">
        <v>471</v>
      </c>
      <c r="F51" s="199" t="s">
        <v>14</v>
      </c>
      <c r="G51" s="199" t="s">
        <v>468</v>
      </c>
      <c r="H51" s="199" t="s">
        <v>469</v>
      </c>
      <c r="I51" s="292" t="s">
        <v>464</v>
      </c>
      <c r="J51" s="292"/>
      <c r="K51" s="200" t="s">
        <v>465</v>
      </c>
    </row>
    <row r="52" spans="3:12">
      <c r="C52" s="18">
        <v>2008</v>
      </c>
      <c r="D52" s="201">
        <v>1540992</v>
      </c>
      <c r="E52" s="201">
        <v>245917</v>
      </c>
      <c r="F52" s="201">
        <f>D52+E52</f>
        <v>1786909</v>
      </c>
      <c r="G52" s="202"/>
      <c r="H52" s="202"/>
      <c r="I52" s="293"/>
      <c r="J52" s="293"/>
      <c r="K52" s="202"/>
    </row>
    <row r="53" spans="3:12">
      <c r="C53" s="18">
        <v>2009</v>
      </c>
      <c r="D53" s="201">
        <v>1660698</v>
      </c>
      <c r="E53" s="201">
        <v>248604</v>
      </c>
      <c r="F53" s="201">
        <f t="shared" ref="F53:F61" si="21">D53+E53</f>
        <v>1909302</v>
      </c>
      <c r="G53" s="202"/>
      <c r="H53" s="202"/>
      <c r="I53" s="293"/>
      <c r="J53" s="293"/>
      <c r="K53" s="202"/>
    </row>
    <row r="54" spans="3:12">
      <c r="C54" s="18">
        <v>2010</v>
      </c>
      <c r="D54" s="201">
        <v>1639326</v>
      </c>
      <c r="E54" s="201">
        <v>249365</v>
      </c>
      <c r="F54" s="201">
        <f t="shared" si="21"/>
        <v>1888691</v>
      </c>
      <c r="G54" s="202"/>
      <c r="H54" s="202"/>
      <c r="I54" s="293"/>
      <c r="J54" s="293"/>
      <c r="K54" s="202"/>
    </row>
    <row r="55" spans="3:12">
      <c r="C55" s="18">
        <v>2011</v>
      </c>
      <c r="D55" s="201">
        <v>1642019</v>
      </c>
      <c r="E55" s="201">
        <v>245601</v>
      </c>
      <c r="F55" s="201">
        <f t="shared" si="21"/>
        <v>1887620</v>
      </c>
      <c r="G55" s="202"/>
      <c r="H55" s="202"/>
      <c r="I55" s="293"/>
      <c r="J55" s="293"/>
      <c r="K55" s="202"/>
    </row>
    <row r="56" spans="3:12">
      <c r="C56" s="18">
        <v>2012</v>
      </c>
      <c r="D56" s="201">
        <v>1601467</v>
      </c>
      <c r="E56" s="201">
        <v>258538</v>
      </c>
      <c r="F56" s="201">
        <f t="shared" si="21"/>
        <v>1860005</v>
      </c>
      <c r="G56" s="202"/>
      <c r="H56" s="202"/>
      <c r="I56" s="293"/>
      <c r="J56" s="293"/>
      <c r="K56" s="202"/>
    </row>
    <row r="57" spans="3:12">
      <c r="C57" s="18">
        <v>2013</v>
      </c>
      <c r="D57" s="201">
        <v>1676947</v>
      </c>
      <c r="E57" s="201">
        <v>258069</v>
      </c>
      <c r="F57" s="201">
        <f t="shared" si="21"/>
        <v>1935016</v>
      </c>
      <c r="G57" s="201">
        <f>665.898537528+2571.1213007732</f>
        <v>3237.0198383011998</v>
      </c>
      <c r="H57" s="201">
        <f>513.727021189454+3086.61413121863</f>
        <v>3600.3411524080839</v>
      </c>
      <c r="I57" s="293">
        <f>G57/F57</f>
        <v>1.6728646369338547E-3</v>
      </c>
      <c r="J57" s="293"/>
      <c r="K57" s="204">
        <f>H57/F57</f>
        <v>1.8606260374116202E-3</v>
      </c>
    </row>
    <row r="58" spans="3:12">
      <c r="C58" s="18">
        <v>2014</v>
      </c>
      <c r="D58" s="201">
        <v>1708423</v>
      </c>
      <c r="E58" s="201">
        <v>269940</v>
      </c>
      <c r="F58" s="201">
        <f t="shared" si="21"/>
        <v>1978363</v>
      </c>
      <c r="G58" s="201">
        <f>696.52942128+2619.3807949988</f>
        <v>3315.9102162787999</v>
      </c>
      <c r="H58" s="201">
        <f>539.720192106257+3144.54933513041</f>
        <v>3684.2695272366668</v>
      </c>
      <c r="I58" s="293">
        <f>G58/F58</f>
        <v>1.6760878647036968E-3</v>
      </c>
      <c r="J58" s="293"/>
      <c r="K58" s="204">
        <f>H58/F58</f>
        <v>1.8622818599198765E-3</v>
      </c>
    </row>
    <row r="59" spans="3:12">
      <c r="C59" s="18">
        <v>2015</v>
      </c>
      <c r="D59" s="201">
        <v>1804348</v>
      </c>
      <c r="E59" s="201">
        <v>276202</v>
      </c>
      <c r="F59" s="201">
        <f t="shared" si="21"/>
        <v>2080550</v>
      </c>
      <c r="G59" s="201">
        <f>712.687335024+2766.4545014288</f>
        <v>3479.1418364527999</v>
      </c>
      <c r="H59" s="201">
        <f>555.576417195931+3262.06358248384</f>
        <v>3817.6399996797709</v>
      </c>
      <c r="I59" s="293">
        <f>G59/F59</f>
        <v>1.6722221703168872E-3</v>
      </c>
      <c r="J59" s="293"/>
      <c r="K59" s="204">
        <f>H59/F59</f>
        <v>1.8349186511642454E-3</v>
      </c>
    </row>
    <row r="60" spans="3:12">
      <c r="C60" s="18">
        <v>2016</v>
      </c>
      <c r="D60" s="201">
        <v>2054634</v>
      </c>
      <c r="E60" s="201">
        <v>275285</v>
      </c>
      <c r="F60" s="201">
        <f t="shared" si="21"/>
        <v>2329919</v>
      </c>
      <c r="G60" s="201">
        <f>710.32118892+3150.1969010904</f>
        <v>3860.5180900104001</v>
      </c>
      <c r="H60" s="201">
        <f>584.597813860607+3839.09608201681</f>
        <v>4423.6938958774172</v>
      </c>
      <c r="I60" s="293">
        <f>G60/F60</f>
        <v>1.6569323182524371E-3</v>
      </c>
      <c r="J60" s="293"/>
      <c r="K60" s="204">
        <f>H60/F60</f>
        <v>1.8986470756611783E-3</v>
      </c>
    </row>
    <row r="61" spans="3:12">
      <c r="C61" s="18">
        <v>2017</v>
      </c>
      <c r="D61" s="201">
        <v>2103645</v>
      </c>
      <c r="E61" s="201">
        <v>284766</v>
      </c>
      <c r="F61" s="201">
        <f t="shared" si="21"/>
        <v>2388411</v>
      </c>
      <c r="G61" s="201">
        <f>734.785126992+3225.341330862</f>
        <v>3960.1264578540004</v>
      </c>
      <c r="H61" s="201">
        <f>613.352690758111+3992.00567719057</f>
        <v>4605.358367948681</v>
      </c>
      <c r="I61" s="293">
        <f>G61/F61</f>
        <v>1.6580590433782126E-3</v>
      </c>
      <c r="J61" s="293"/>
      <c r="K61" s="204">
        <f>H61/F61</f>
        <v>1.9282101648119528E-3</v>
      </c>
    </row>
    <row r="62" spans="3:12">
      <c r="C62" s="300" t="s">
        <v>492</v>
      </c>
      <c r="D62" s="300"/>
      <c r="E62" s="300"/>
      <c r="F62" s="300"/>
      <c r="G62" s="300"/>
      <c r="H62" s="300"/>
      <c r="I62" s="299">
        <f>AVERAGE(I57:J61)</f>
        <v>1.6672332067170178E-3</v>
      </c>
      <c r="J62" s="299"/>
      <c r="K62" s="207">
        <f>AVERAGE(K57:L61)</f>
        <v>1.8769367577937748E-3</v>
      </c>
      <c r="L62" s="206"/>
    </row>
    <row r="63" spans="3:12">
      <c r="C63" s="205" t="s">
        <v>458</v>
      </c>
      <c r="D63" s="205" t="s">
        <v>461</v>
      </c>
      <c r="E63" s="205"/>
      <c r="F63" s="205"/>
      <c r="G63" s="205"/>
      <c r="H63" s="205"/>
      <c r="I63" s="205"/>
      <c r="J63" s="205"/>
      <c r="K63" s="205"/>
    </row>
    <row r="64" spans="3:12">
      <c r="C64" t="s">
        <v>459</v>
      </c>
      <c r="D64" t="s">
        <v>460</v>
      </c>
    </row>
  </sheetData>
  <mergeCells count="22">
    <mergeCell ref="I62:J62"/>
    <mergeCell ref="C62:H62"/>
    <mergeCell ref="I52:J52"/>
    <mergeCell ref="I58:J58"/>
    <mergeCell ref="L5:X5"/>
    <mergeCell ref="I59:J59"/>
    <mergeCell ref="I60:J60"/>
    <mergeCell ref="I61:J61"/>
    <mergeCell ref="I50:K50"/>
    <mergeCell ref="I55:J55"/>
    <mergeCell ref="I56:J56"/>
    <mergeCell ref="I57:J57"/>
    <mergeCell ref="O35:X42"/>
    <mergeCell ref="I54:J54"/>
    <mergeCell ref="D50:F50"/>
    <mergeCell ref="C50:C51"/>
    <mergeCell ref="I51:J51"/>
    <mergeCell ref="I53:J53"/>
    <mergeCell ref="C3:C4"/>
    <mergeCell ref="D3:F3"/>
    <mergeCell ref="G3:H3"/>
    <mergeCell ref="C37:H37"/>
  </mergeCells>
  <hyperlinks>
    <hyperlink ref="L31" r:id="rId1" xr:uid="{34317E76-10C2-4B1B-AC92-17C892193B08}"/>
    <hyperlink ref="L32" r:id="rId2" xr:uid="{C8ECC35C-EE7F-4661-9F96-B30DCB052E9A}"/>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9C86-D1ED-489D-8527-3F5CF2F68F5F}">
  <dimension ref="A1:AB184"/>
  <sheetViews>
    <sheetView zoomScale="80" zoomScaleNormal="80" workbookViewId="0">
      <selection activeCell="D9" sqref="D9"/>
    </sheetView>
  </sheetViews>
  <sheetFormatPr defaultColWidth="11.5703125" defaultRowHeight="15"/>
  <cols>
    <col min="1" max="1" width="13.42578125" customWidth="1"/>
    <col min="2" max="2" width="22" customWidth="1"/>
    <col min="3" max="3" width="15.28515625" customWidth="1"/>
    <col min="4" max="4" width="30" bestFit="1" customWidth="1"/>
    <col min="5" max="6" width="20.7109375" bestFit="1" customWidth="1"/>
    <col min="7" max="7" width="14.28515625" customWidth="1"/>
    <col min="9" max="9" width="12.42578125" customWidth="1"/>
    <col min="11" max="11" width="12.140625" customWidth="1"/>
    <col min="12" max="12" width="13.7109375" bestFit="1" customWidth="1"/>
    <col min="13" max="13" width="14" bestFit="1" customWidth="1"/>
    <col min="14" max="14" width="14.28515625" bestFit="1" customWidth="1"/>
    <col min="15" max="15" width="13" bestFit="1" customWidth="1"/>
    <col min="16" max="16" width="12" bestFit="1" customWidth="1"/>
  </cols>
  <sheetData>
    <row r="1" spans="1:8" ht="15.75" thickBot="1">
      <c r="A1" s="5" t="s">
        <v>29</v>
      </c>
      <c r="B1" s="6" t="s">
        <v>30</v>
      </c>
      <c r="C1" s="7" t="s">
        <v>31</v>
      </c>
    </row>
    <row r="2" spans="1:8">
      <c r="A2" s="8" t="s">
        <v>32</v>
      </c>
      <c r="B2" s="9" t="s">
        <v>33</v>
      </c>
      <c r="C2" s="10">
        <v>28</v>
      </c>
    </row>
    <row r="3" spans="1:8" ht="15.75" thickBot="1">
      <c r="A3" s="11" t="s">
        <v>34</v>
      </c>
      <c r="B3" s="12" t="s">
        <v>35</v>
      </c>
      <c r="C3" s="13">
        <v>265</v>
      </c>
    </row>
    <row r="4" spans="1:8" ht="15.75" thickBot="1"/>
    <row r="5" spans="1:8" ht="15.75" thickBot="1">
      <c r="A5" s="14" t="s">
        <v>36</v>
      </c>
      <c r="B5" s="15" t="s">
        <v>37</v>
      </c>
      <c r="C5" s="6" t="s">
        <v>38</v>
      </c>
      <c r="D5" s="6" t="s">
        <v>39</v>
      </c>
      <c r="E5" s="6" t="s">
        <v>40</v>
      </c>
      <c r="F5" s="6" t="s">
        <v>41</v>
      </c>
      <c r="G5" s="6" t="s">
        <v>42</v>
      </c>
      <c r="H5" s="7" t="s">
        <v>43</v>
      </c>
    </row>
    <row r="6" spans="1:8">
      <c r="A6" s="16" t="s">
        <v>44</v>
      </c>
      <c r="B6" s="16" t="s">
        <v>45</v>
      </c>
      <c r="C6" s="9">
        <v>56</v>
      </c>
      <c r="D6" s="9" t="s">
        <v>46</v>
      </c>
      <c r="E6" s="9" t="s">
        <v>47</v>
      </c>
      <c r="F6" s="9" t="s">
        <v>48</v>
      </c>
      <c r="G6" s="9" t="s">
        <v>49</v>
      </c>
      <c r="H6" s="9">
        <v>10.11</v>
      </c>
    </row>
    <row r="7" spans="1:8">
      <c r="A7" s="17" t="s">
        <v>50</v>
      </c>
      <c r="B7" s="17" t="s">
        <v>51</v>
      </c>
      <c r="C7" s="17">
        <v>128</v>
      </c>
      <c r="D7" s="18" t="s">
        <v>46</v>
      </c>
      <c r="E7" s="18" t="s">
        <v>52</v>
      </c>
      <c r="F7" s="18">
        <v>8400</v>
      </c>
      <c r="G7" s="18" t="s">
        <v>49</v>
      </c>
      <c r="H7" s="18">
        <v>10.11</v>
      </c>
    </row>
    <row r="8" spans="1:8">
      <c r="A8" s="17" t="s">
        <v>327</v>
      </c>
      <c r="B8" s="17" t="s">
        <v>328</v>
      </c>
      <c r="C8" s="17">
        <v>53</v>
      </c>
      <c r="D8" s="18" t="s">
        <v>46</v>
      </c>
      <c r="E8" s="18" t="s">
        <v>52</v>
      </c>
      <c r="F8" s="18" t="s">
        <v>48</v>
      </c>
      <c r="G8" s="18" t="s">
        <v>49</v>
      </c>
      <c r="H8" s="18">
        <v>10.11</v>
      </c>
    </row>
    <row r="9" spans="1:8">
      <c r="A9" s="17" t="s">
        <v>50</v>
      </c>
      <c r="B9" s="17" t="s">
        <v>51</v>
      </c>
      <c r="C9" s="17">
        <v>117</v>
      </c>
      <c r="D9" s="18" t="s">
        <v>46</v>
      </c>
      <c r="E9" s="18" t="s">
        <v>53</v>
      </c>
      <c r="F9" s="18">
        <v>6000</v>
      </c>
      <c r="G9" s="18" t="s">
        <v>49</v>
      </c>
      <c r="H9" s="18">
        <v>10.11</v>
      </c>
    </row>
    <row r="10" spans="1:8">
      <c r="A10" s="17" t="s">
        <v>50</v>
      </c>
      <c r="B10" s="17" t="s">
        <v>51</v>
      </c>
      <c r="C10" s="17">
        <v>99</v>
      </c>
      <c r="D10" s="18" t="s">
        <v>46</v>
      </c>
      <c r="E10" s="18" t="s">
        <v>54</v>
      </c>
      <c r="F10" s="18">
        <v>2550</v>
      </c>
      <c r="G10" s="18" t="s">
        <v>49</v>
      </c>
      <c r="H10" s="18">
        <v>10.11</v>
      </c>
    </row>
    <row r="11" spans="1:8">
      <c r="A11" s="17" t="s">
        <v>50</v>
      </c>
      <c r="B11" s="17" t="s">
        <v>51</v>
      </c>
      <c r="C11" s="17">
        <v>90</v>
      </c>
      <c r="D11" s="18" t="s">
        <v>46</v>
      </c>
      <c r="E11" s="18" t="s">
        <v>55</v>
      </c>
      <c r="F11" s="18">
        <v>2200</v>
      </c>
      <c r="G11" s="18" t="s">
        <v>49</v>
      </c>
      <c r="H11" s="18">
        <v>10.11</v>
      </c>
    </row>
    <row r="12" spans="1:8">
      <c r="A12" s="17" t="s">
        <v>50</v>
      </c>
      <c r="B12" s="17" t="s">
        <v>51</v>
      </c>
      <c r="C12" s="17">
        <v>72</v>
      </c>
      <c r="D12" s="18" t="s">
        <v>46</v>
      </c>
      <c r="E12" s="18" t="s">
        <v>47</v>
      </c>
      <c r="F12" s="18">
        <v>800</v>
      </c>
      <c r="G12" s="18" t="s">
        <v>49</v>
      </c>
      <c r="H12" s="18">
        <v>10.11</v>
      </c>
    </row>
    <row r="13" spans="1:8">
      <c r="A13" s="17" t="s">
        <v>50</v>
      </c>
      <c r="B13" s="17" t="s">
        <v>51</v>
      </c>
      <c r="C13" s="17">
        <v>68</v>
      </c>
      <c r="D13" s="18" t="s">
        <v>46</v>
      </c>
      <c r="E13" s="18" t="s">
        <v>56</v>
      </c>
      <c r="F13" s="18">
        <v>1650</v>
      </c>
      <c r="G13" s="18" t="s">
        <v>49</v>
      </c>
      <c r="H13" s="18">
        <v>10.11</v>
      </c>
    </row>
    <row r="14" spans="1:8">
      <c r="A14" s="17" t="s">
        <v>50</v>
      </c>
      <c r="B14" s="17" t="s">
        <v>51</v>
      </c>
      <c r="C14" s="17">
        <v>46</v>
      </c>
      <c r="D14" s="18" t="s">
        <v>46</v>
      </c>
      <c r="E14" s="18" t="s">
        <v>57</v>
      </c>
      <c r="F14" s="18">
        <v>475</v>
      </c>
      <c r="G14" s="18" t="s">
        <v>49</v>
      </c>
      <c r="H14" s="18">
        <v>10.11</v>
      </c>
    </row>
    <row r="15" spans="1:8">
      <c r="A15" s="17" t="s">
        <v>50</v>
      </c>
      <c r="B15" s="17" t="s">
        <v>51</v>
      </c>
      <c r="C15" s="17">
        <v>58</v>
      </c>
      <c r="D15" s="18" t="s">
        <v>46</v>
      </c>
      <c r="E15" s="18" t="s">
        <v>58</v>
      </c>
      <c r="F15" s="18">
        <v>900</v>
      </c>
      <c r="G15" s="18" t="s">
        <v>49</v>
      </c>
      <c r="H15" s="18">
        <v>10.11</v>
      </c>
    </row>
    <row r="16" spans="1:8" ht="15.75" thickBot="1"/>
    <row r="17" spans="1:21" ht="31.5" customHeight="1" thickBot="1">
      <c r="A17" s="19" t="s">
        <v>59</v>
      </c>
      <c r="B17" s="6" t="s">
        <v>37</v>
      </c>
      <c r="C17" s="20" t="s">
        <v>60</v>
      </c>
      <c r="D17" s="20" t="s">
        <v>61</v>
      </c>
      <c r="E17" s="6" t="s">
        <v>39</v>
      </c>
      <c r="F17" s="6" t="s">
        <v>42</v>
      </c>
      <c r="G17" s="6" t="s">
        <v>43</v>
      </c>
      <c r="H17" s="7" t="s">
        <v>62</v>
      </c>
    </row>
    <row r="18" spans="1:21">
      <c r="A18" s="21" t="s">
        <v>44</v>
      </c>
      <c r="B18" s="9" t="s">
        <v>63</v>
      </c>
      <c r="C18" s="9"/>
      <c r="D18" s="9"/>
      <c r="E18" s="9"/>
      <c r="F18" s="9"/>
      <c r="G18" s="9"/>
      <c r="H18" s="10"/>
    </row>
    <row r="19" spans="1:21">
      <c r="A19" s="22" t="s">
        <v>50</v>
      </c>
      <c r="B19" s="18" t="s">
        <v>64</v>
      </c>
      <c r="C19" s="18"/>
      <c r="D19" s="18"/>
      <c r="E19" s="18"/>
      <c r="F19" s="18"/>
      <c r="G19" s="18"/>
      <c r="H19" s="23"/>
    </row>
    <row r="20" spans="1:21">
      <c r="A20" s="22" t="s">
        <v>65</v>
      </c>
      <c r="B20" s="18" t="s">
        <v>66</v>
      </c>
      <c r="C20" s="18"/>
      <c r="D20" s="18"/>
      <c r="E20" s="18"/>
      <c r="F20" s="18"/>
      <c r="G20" s="18"/>
      <c r="H20" s="23"/>
    </row>
    <row r="21" spans="1:21">
      <c r="A21" s="22" t="s">
        <v>67</v>
      </c>
      <c r="B21" s="18" t="s">
        <v>68</v>
      </c>
      <c r="C21" s="18">
        <v>8</v>
      </c>
      <c r="D21" s="18">
        <v>5</v>
      </c>
      <c r="E21" s="18" t="s">
        <v>69</v>
      </c>
      <c r="F21" s="18" t="s">
        <v>49</v>
      </c>
      <c r="G21" s="18" t="s">
        <v>70</v>
      </c>
      <c r="H21" s="23">
        <v>45</v>
      </c>
    </row>
    <row r="22" spans="1:21">
      <c r="A22" s="22" t="s">
        <v>71</v>
      </c>
      <c r="B22" s="18" t="s">
        <v>72</v>
      </c>
      <c r="C22" s="18">
        <v>5</v>
      </c>
      <c r="D22" s="18">
        <v>5</v>
      </c>
      <c r="E22" s="18" t="s">
        <v>69</v>
      </c>
      <c r="F22" s="18" t="s">
        <v>49</v>
      </c>
      <c r="G22" s="18" t="s">
        <v>70</v>
      </c>
      <c r="H22" s="23">
        <v>40</v>
      </c>
    </row>
    <row r="23" spans="1:21">
      <c r="A23" s="22" t="s">
        <v>73</v>
      </c>
      <c r="B23" s="18" t="s">
        <v>74</v>
      </c>
      <c r="C23" s="18">
        <v>18</v>
      </c>
      <c r="D23" s="18">
        <v>18</v>
      </c>
      <c r="E23" s="18" t="s">
        <v>69</v>
      </c>
      <c r="F23" s="18" t="s">
        <v>49</v>
      </c>
      <c r="G23" s="18" t="s">
        <v>70</v>
      </c>
      <c r="H23" s="23">
        <v>550</v>
      </c>
    </row>
    <row r="24" spans="1:21">
      <c r="A24" s="22" t="s">
        <v>75</v>
      </c>
      <c r="B24" s="18" t="s">
        <v>76</v>
      </c>
      <c r="C24" s="18">
        <v>10</v>
      </c>
      <c r="D24" s="18">
        <v>10</v>
      </c>
      <c r="E24" s="18" t="s">
        <v>69</v>
      </c>
      <c r="F24" s="18" t="s">
        <v>49</v>
      </c>
      <c r="G24" s="18" t="s">
        <v>70</v>
      </c>
      <c r="H24" s="23">
        <v>245</v>
      </c>
    </row>
    <row r="25" spans="1:21">
      <c r="A25" s="22" t="s">
        <v>77</v>
      </c>
      <c r="B25" s="18" t="s">
        <v>2</v>
      </c>
      <c r="C25" s="18">
        <v>1.5</v>
      </c>
      <c r="D25" s="18">
        <v>1</v>
      </c>
      <c r="E25" s="18" t="s">
        <v>69</v>
      </c>
      <c r="F25" s="18" t="s">
        <v>49</v>
      </c>
      <c r="G25" s="18" t="s">
        <v>70</v>
      </c>
      <c r="H25" s="23" t="s">
        <v>48</v>
      </c>
    </row>
    <row r="26" spans="1:21" ht="15.75" thickBot="1">
      <c r="A26" s="24" t="s">
        <v>78</v>
      </c>
      <c r="B26" s="12" t="s">
        <v>79</v>
      </c>
      <c r="C26" s="12" t="s">
        <v>48</v>
      </c>
      <c r="D26" s="12" t="s">
        <v>48</v>
      </c>
      <c r="E26" s="12" t="s">
        <v>69</v>
      </c>
      <c r="F26" s="12" t="s">
        <v>49</v>
      </c>
      <c r="G26" s="12" t="s">
        <v>70</v>
      </c>
      <c r="H26" s="13" t="s">
        <v>48</v>
      </c>
    </row>
    <row r="27" spans="1:21" ht="15.75" thickBot="1"/>
    <row r="28" spans="1:21" ht="15.75" thickBot="1">
      <c r="A28" s="332" t="s">
        <v>80</v>
      </c>
      <c r="B28" s="333"/>
      <c r="C28" s="333"/>
      <c r="D28" s="333"/>
      <c r="E28" s="333"/>
      <c r="F28" s="333"/>
      <c r="G28" s="333"/>
      <c r="H28" s="334"/>
      <c r="K28" s="335" t="s">
        <v>81</v>
      </c>
      <c r="L28" s="335"/>
      <c r="M28" s="335"/>
      <c r="N28" s="301" t="s">
        <v>82</v>
      </c>
      <c r="O28" s="301"/>
      <c r="P28" t="s">
        <v>83</v>
      </c>
    </row>
    <row r="29" spans="1:21" ht="30.75" thickBot="1">
      <c r="A29" s="5" t="s">
        <v>84</v>
      </c>
      <c r="B29" s="6" t="s">
        <v>37</v>
      </c>
      <c r="C29" s="6" t="s">
        <v>85</v>
      </c>
      <c r="D29" s="6" t="s">
        <v>86</v>
      </c>
      <c r="E29" s="6" t="s">
        <v>87</v>
      </c>
      <c r="F29" s="6" t="s">
        <v>39</v>
      </c>
      <c r="G29" s="6" t="s">
        <v>42</v>
      </c>
      <c r="H29" s="7" t="s">
        <v>43</v>
      </c>
      <c r="J29" s="25" t="s">
        <v>88</v>
      </c>
      <c r="K29" s="26" t="s">
        <v>89</v>
      </c>
      <c r="L29" s="5" t="s">
        <v>90</v>
      </c>
      <c r="M29" s="27" t="s">
        <v>91</v>
      </c>
      <c r="N29" s="14" t="s">
        <v>54</v>
      </c>
      <c r="O29" s="28" t="s">
        <v>47</v>
      </c>
      <c r="P29" s="29" t="s">
        <v>52</v>
      </c>
      <c r="R29" s="51" t="s">
        <v>272</v>
      </c>
      <c r="S29" s="318" t="s">
        <v>123</v>
      </c>
      <c r="T29" s="319"/>
      <c r="U29" s="319"/>
    </row>
    <row r="30" spans="1:21" ht="45.75" thickBot="1">
      <c r="A30" s="21" t="s">
        <v>44</v>
      </c>
      <c r="B30" s="30" t="s">
        <v>63</v>
      </c>
      <c r="C30" s="9"/>
      <c r="D30" s="9"/>
      <c r="E30" s="9"/>
      <c r="F30" s="9" t="s">
        <v>69</v>
      </c>
      <c r="G30" s="9" t="s">
        <v>49</v>
      </c>
      <c r="H30" s="10"/>
      <c r="J30" s="327" t="s">
        <v>92</v>
      </c>
      <c r="K30" s="31">
        <v>10</v>
      </c>
      <c r="L30" s="8">
        <v>19</v>
      </c>
      <c r="M30" s="32">
        <v>1</v>
      </c>
      <c r="N30" s="33">
        <v>6</v>
      </c>
      <c r="O30" s="34">
        <v>1</v>
      </c>
      <c r="P30" s="35">
        <v>48</v>
      </c>
      <c r="R30" s="51" t="s">
        <v>40</v>
      </c>
      <c r="S30" s="52" t="s">
        <v>125</v>
      </c>
      <c r="T30" s="20" t="s">
        <v>126</v>
      </c>
      <c r="U30" s="53" t="s">
        <v>127</v>
      </c>
    </row>
    <row r="31" spans="1:21" ht="30">
      <c r="A31" s="22" t="s">
        <v>50</v>
      </c>
      <c r="B31" s="36" t="s">
        <v>93</v>
      </c>
      <c r="C31" s="18">
        <v>52.8</v>
      </c>
      <c r="D31" s="18">
        <v>71.900000000000006</v>
      </c>
      <c r="E31" s="18">
        <v>109</v>
      </c>
      <c r="F31" s="18" t="s">
        <v>69</v>
      </c>
      <c r="G31" s="18" t="s">
        <v>49</v>
      </c>
      <c r="H31" s="23" t="s">
        <v>94</v>
      </c>
      <c r="J31" s="328"/>
      <c r="K31" s="37">
        <v>11</v>
      </c>
      <c r="L31" s="38">
        <v>20</v>
      </c>
      <c r="M31" s="39">
        <v>1</v>
      </c>
      <c r="N31" s="40">
        <v>6</v>
      </c>
      <c r="O31" s="41">
        <v>1</v>
      </c>
      <c r="P31" s="42">
        <v>50</v>
      </c>
      <c r="R31" s="58" t="s">
        <v>90</v>
      </c>
      <c r="S31" s="9">
        <v>604</v>
      </c>
      <c r="T31" s="9">
        <v>0.24</v>
      </c>
      <c r="U31" s="32">
        <v>5.4</v>
      </c>
    </row>
    <row r="32" spans="1:21" ht="30">
      <c r="A32" s="22" t="s">
        <v>50</v>
      </c>
      <c r="B32" s="36" t="s">
        <v>95</v>
      </c>
      <c r="C32" s="18">
        <v>1</v>
      </c>
      <c r="D32" s="18">
        <v>1</v>
      </c>
      <c r="E32" s="18">
        <v>2</v>
      </c>
      <c r="F32" s="18" t="s">
        <v>69</v>
      </c>
      <c r="G32" s="18" t="s">
        <v>49</v>
      </c>
      <c r="H32" s="23" t="s">
        <v>94</v>
      </c>
      <c r="J32" s="328"/>
      <c r="K32" s="37">
        <v>12</v>
      </c>
      <c r="L32" s="38">
        <v>21</v>
      </c>
      <c r="M32" s="39">
        <v>1</v>
      </c>
      <c r="N32" s="40">
        <v>7</v>
      </c>
      <c r="O32" s="41">
        <v>1</v>
      </c>
      <c r="P32" s="42">
        <v>53</v>
      </c>
      <c r="R32" s="60" t="s">
        <v>138</v>
      </c>
      <c r="S32" s="18">
        <v>600</v>
      </c>
      <c r="T32" s="18">
        <v>0.24</v>
      </c>
      <c r="U32" s="39">
        <v>5.0999999999999996</v>
      </c>
    </row>
    <row r="33" spans="1:21" ht="30">
      <c r="A33" s="22" t="s">
        <v>65</v>
      </c>
      <c r="B33" s="36" t="s">
        <v>96</v>
      </c>
      <c r="C33" s="18">
        <v>1</v>
      </c>
      <c r="D33" s="18">
        <v>2</v>
      </c>
      <c r="E33" s="18">
        <v>2</v>
      </c>
      <c r="F33" s="18" t="s">
        <v>69</v>
      </c>
      <c r="G33" s="18" t="s">
        <v>49</v>
      </c>
      <c r="H33" s="23" t="s">
        <v>94</v>
      </c>
      <c r="J33" s="328"/>
      <c r="K33" s="37">
        <v>13</v>
      </c>
      <c r="L33" s="38">
        <v>22</v>
      </c>
      <c r="M33" s="39">
        <v>1</v>
      </c>
      <c r="N33" s="40">
        <v>7</v>
      </c>
      <c r="O33" s="41">
        <v>1</v>
      </c>
      <c r="P33" s="42">
        <v>55</v>
      </c>
      <c r="R33" s="60" t="s">
        <v>139</v>
      </c>
      <c r="S33" s="18">
        <v>550</v>
      </c>
      <c r="T33" s="18">
        <v>0.24</v>
      </c>
      <c r="U33" s="39">
        <v>4.5</v>
      </c>
    </row>
    <row r="34" spans="1:21" ht="30">
      <c r="A34" s="22" t="s">
        <v>65</v>
      </c>
      <c r="B34" s="36" t="s">
        <v>97</v>
      </c>
      <c r="C34" s="18">
        <v>1</v>
      </c>
      <c r="D34" s="18">
        <v>1</v>
      </c>
      <c r="E34" s="18">
        <v>2</v>
      </c>
      <c r="F34" s="18" t="s">
        <v>69</v>
      </c>
      <c r="G34" s="18" t="s">
        <v>49</v>
      </c>
      <c r="H34" s="23" t="s">
        <v>94</v>
      </c>
      <c r="J34" s="328"/>
      <c r="K34" s="37">
        <v>14</v>
      </c>
      <c r="L34" s="38">
        <v>23</v>
      </c>
      <c r="M34" s="39">
        <v>1</v>
      </c>
      <c r="N34" s="40">
        <v>8</v>
      </c>
      <c r="O34" s="41">
        <v>1</v>
      </c>
      <c r="P34" s="42">
        <v>58</v>
      </c>
      <c r="R34" s="60" t="s">
        <v>55</v>
      </c>
      <c r="S34" s="18">
        <v>500</v>
      </c>
      <c r="T34" s="18">
        <v>0.24</v>
      </c>
      <c r="U34" s="39">
        <v>3.5</v>
      </c>
    </row>
    <row r="35" spans="1:21" ht="30">
      <c r="A35" s="22" t="s">
        <v>67</v>
      </c>
      <c r="B35" s="36" t="s">
        <v>98</v>
      </c>
      <c r="C35" s="18">
        <v>0.19</v>
      </c>
      <c r="D35" s="18">
        <v>0.28000000000000003</v>
      </c>
      <c r="E35" s="18">
        <v>0.37</v>
      </c>
      <c r="F35" s="18" t="s">
        <v>69</v>
      </c>
      <c r="G35" s="18" t="s">
        <v>49</v>
      </c>
      <c r="H35" s="23" t="s">
        <v>99</v>
      </c>
      <c r="J35" s="328" t="s">
        <v>100</v>
      </c>
      <c r="K35" s="37">
        <v>15</v>
      </c>
      <c r="L35" s="38">
        <v>24</v>
      </c>
      <c r="M35" s="39">
        <v>1</v>
      </c>
      <c r="N35" s="40">
        <v>9</v>
      </c>
      <c r="O35" s="41">
        <v>1</v>
      </c>
      <c r="P35" s="42">
        <v>63</v>
      </c>
      <c r="R35" s="60" t="s">
        <v>91</v>
      </c>
      <c r="S35" s="18">
        <v>400</v>
      </c>
      <c r="T35" s="18">
        <v>0.13</v>
      </c>
      <c r="U35" s="39">
        <v>2.9</v>
      </c>
    </row>
    <row r="36" spans="1:21">
      <c r="A36" s="22" t="s">
        <v>67</v>
      </c>
      <c r="B36" s="36" t="s">
        <v>101</v>
      </c>
      <c r="C36" s="18">
        <v>0.1</v>
      </c>
      <c r="D36" s="18">
        <v>0.15</v>
      </c>
      <c r="E36" s="18">
        <v>0.2</v>
      </c>
      <c r="F36" s="18" t="s">
        <v>69</v>
      </c>
      <c r="G36" s="18" t="s">
        <v>49</v>
      </c>
      <c r="H36" s="23" t="s">
        <v>99</v>
      </c>
      <c r="J36" s="328"/>
      <c r="K36" s="37">
        <v>16</v>
      </c>
      <c r="L36" s="38">
        <v>26</v>
      </c>
      <c r="M36" s="39">
        <v>1</v>
      </c>
      <c r="N36" s="40">
        <v>10</v>
      </c>
      <c r="O36" s="41">
        <v>1</v>
      </c>
      <c r="P36" s="42">
        <v>65</v>
      </c>
      <c r="R36" s="60" t="s">
        <v>140</v>
      </c>
      <c r="S36" s="18">
        <v>275</v>
      </c>
      <c r="T36" s="18">
        <v>0.13</v>
      </c>
      <c r="U36" s="39">
        <v>1.9</v>
      </c>
    </row>
    <row r="37" spans="1:21" ht="30">
      <c r="A37" s="22" t="s">
        <v>71</v>
      </c>
      <c r="B37" s="36" t="s">
        <v>102</v>
      </c>
      <c r="C37" s="18">
        <v>0.13</v>
      </c>
      <c r="D37" s="18">
        <v>0.2</v>
      </c>
      <c r="E37" s="18">
        <v>0.26</v>
      </c>
      <c r="F37" s="18" t="s">
        <v>69</v>
      </c>
      <c r="G37" s="18" t="s">
        <v>49</v>
      </c>
      <c r="H37" s="23" t="s">
        <v>99</v>
      </c>
      <c r="J37" s="328"/>
      <c r="K37" s="37">
        <v>17</v>
      </c>
      <c r="L37" s="38">
        <v>27</v>
      </c>
      <c r="M37" s="39">
        <v>1</v>
      </c>
      <c r="N37" s="40">
        <v>11</v>
      </c>
      <c r="O37" s="41">
        <v>1</v>
      </c>
      <c r="P37" s="42">
        <v>68</v>
      </c>
      <c r="R37" s="60" t="s">
        <v>141</v>
      </c>
      <c r="S37" s="18">
        <v>275</v>
      </c>
      <c r="T37" s="18">
        <v>0.13</v>
      </c>
      <c r="U37" s="39">
        <v>1.9</v>
      </c>
    </row>
    <row r="38" spans="1:21">
      <c r="A38" s="22" t="s">
        <v>71</v>
      </c>
      <c r="B38" s="36" t="s">
        <v>103</v>
      </c>
      <c r="C38" s="18">
        <v>0.11</v>
      </c>
      <c r="D38" s="18">
        <v>0.17</v>
      </c>
      <c r="E38" s="18">
        <v>0.22</v>
      </c>
      <c r="F38" s="18" t="s">
        <v>69</v>
      </c>
      <c r="G38" s="18" t="s">
        <v>49</v>
      </c>
      <c r="H38" s="23" t="s">
        <v>99</v>
      </c>
      <c r="J38" s="328"/>
      <c r="K38" s="37">
        <v>18</v>
      </c>
      <c r="L38" s="38">
        <v>28</v>
      </c>
      <c r="M38" s="39">
        <v>1</v>
      </c>
      <c r="N38" s="40">
        <v>11</v>
      </c>
      <c r="O38" s="41">
        <v>1</v>
      </c>
      <c r="P38" s="42">
        <v>71</v>
      </c>
      <c r="R38" s="60" t="s">
        <v>56</v>
      </c>
      <c r="S38" s="18">
        <v>350</v>
      </c>
      <c r="T38" s="18">
        <v>0.13</v>
      </c>
      <c r="U38" s="39">
        <v>2.8</v>
      </c>
    </row>
    <row r="39" spans="1:21" ht="45.75" thickBot="1">
      <c r="A39" s="22" t="s">
        <v>73</v>
      </c>
      <c r="B39" s="36" t="s">
        <v>104</v>
      </c>
      <c r="C39" s="18">
        <v>1.56</v>
      </c>
      <c r="D39" s="18">
        <v>2.34</v>
      </c>
      <c r="E39" s="18">
        <v>3.13</v>
      </c>
      <c r="F39" s="18" t="s">
        <v>69</v>
      </c>
      <c r="G39" s="18" t="s">
        <v>49</v>
      </c>
      <c r="H39" s="23" t="s">
        <v>99</v>
      </c>
      <c r="J39" s="328"/>
      <c r="K39" s="37">
        <v>19</v>
      </c>
      <c r="L39" s="38">
        <v>29</v>
      </c>
      <c r="M39" s="39">
        <v>1</v>
      </c>
      <c r="N39" s="40">
        <v>12</v>
      </c>
      <c r="O39" s="41">
        <v>1</v>
      </c>
      <c r="P39" s="42">
        <v>74</v>
      </c>
      <c r="R39" s="62" t="s">
        <v>142</v>
      </c>
      <c r="S39" s="12">
        <v>275</v>
      </c>
      <c r="T39" s="12">
        <v>0.13</v>
      </c>
      <c r="U39" s="44">
        <v>2.6</v>
      </c>
    </row>
    <row r="40" spans="1:21">
      <c r="A40" s="22" t="s">
        <v>73</v>
      </c>
      <c r="B40" s="36" t="s">
        <v>105</v>
      </c>
      <c r="C40" s="18">
        <v>1.0900000000000001</v>
      </c>
      <c r="D40" s="18">
        <v>1.64</v>
      </c>
      <c r="E40" s="18">
        <v>2.19</v>
      </c>
      <c r="F40" s="18" t="s">
        <v>69</v>
      </c>
      <c r="G40" s="18" t="s">
        <v>49</v>
      </c>
      <c r="H40" s="23" t="s">
        <v>99</v>
      </c>
      <c r="J40" s="328"/>
      <c r="K40" s="37">
        <v>20</v>
      </c>
      <c r="L40" s="38">
        <v>31</v>
      </c>
      <c r="M40" s="39">
        <v>1</v>
      </c>
      <c r="N40" s="40">
        <v>13</v>
      </c>
      <c r="O40" s="41">
        <v>1</v>
      </c>
      <c r="P40" s="42">
        <v>78</v>
      </c>
    </row>
    <row r="41" spans="1:21" ht="30">
      <c r="A41" s="22" t="s">
        <v>75</v>
      </c>
      <c r="B41" s="36" t="s">
        <v>106</v>
      </c>
      <c r="C41" s="18">
        <v>0.76</v>
      </c>
      <c r="D41" s="18">
        <v>1.1000000000000001</v>
      </c>
      <c r="E41" s="18">
        <v>1.52</v>
      </c>
      <c r="F41" s="18" t="s">
        <v>69</v>
      </c>
      <c r="G41" s="18" t="s">
        <v>49</v>
      </c>
      <c r="H41" s="23" t="s">
        <v>99</v>
      </c>
      <c r="J41" s="328"/>
      <c r="K41" s="37">
        <v>21</v>
      </c>
      <c r="L41" s="38">
        <v>32</v>
      </c>
      <c r="M41" s="39">
        <v>1</v>
      </c>
      <c r="N41" s="40">
        <v>14</v>
      </c>
      <c r="O41" s="41">
        <v>1</v>
      </c>
      <c r="P41" s="42">
        <v>81</v>
      </c>
    </row>
    <row r="42" spans="1:21" ht="30">
      <c r="A42" s="22" t="s">
        <v>75</v>
      </c>
      <c r="B42" s="36" t="s">
        <v>107</v>
      </c>
      <c r="C42" s="18">
        <v>0.6</v>
      </c>
      <c r="D42" s="18">
        <v>0.9</v>
      </c>
      <c r="E42" s="18">
        <v>1.2</v>
      </c>
      <c r="F42" s="18" t="s">
        <v>69</v>
      </c>
      <c r="G42" s="18" t="s">
        <v>49</v>
      </c>
      <c r="H42" s="23" t="s">
        <v>99</v>
      </c>
      <c r="J42" s="328"/>
      <c r="K42" s="37">
        <v>22</v>
      </c>
      <c r="L42" s="38">
        <v>34</v>
      </c>
      <c r="M42" s="39">
        <v>1</v>
      </c>
      <c r="N42" s="40">
        <v>15</v>
      </c>
      <c r="O42" s="41">
        <v>1</v>
      </c>
      <c r="P42" s="42">
        <v>85</v>
      </c>
    </row>
    <row r="43" spans="1:21" ht="30">
      <c r="A43" s="22" t="s">
        <v>77</v>
      </c>
      <c r="B43" s="36" t="s">
        <v>108</v>
      </c>
      <c r="C43" s="18">
        <v>11.2</v>
      </c>
      <c r="D43" s="18">
        <v>16.18</v>
      </c>
      <c r="E43" s="18">
        <v>22.6</v>
      </c>
      <c r="F43" s="18" t="s">
        <v>69</v>
      </c>
      <c r="G43" s="18" t="s">
        <v>49</v>
      </c>
      <c r="H43" s="23" t="s">
        <v>94</v>
      </c>
      <c r="J43" s="328"/>
      <c r="K43" s="37">
        <v>23</v>
      </c>
      <c r="L43" s="38">
        <v>35</v>
      </c>
      <c r="M43" s="39">
        <v>1</v>
      </c>
      <c r="N43" s="40">
        <v>16</v>
      </c>
      <c r="O43" s="41">
        <v>1</v>
      </c>
      <c r="P43" s="42">
        <v>89</v>
      </c>
    </row>
    <row r="44" spans="1:21" ht="30">
      <c r="A44" s="22" t="s">
        <v>77</v>
      </c>
      <c r="B44" s="36" t="s">
        <v>109</v>
      </c>
      <c r="C44" s="18">
        <v>21</v>
      </c>
      <c r="D44" s="18">
        <v>31.09</v>
      </c>
      <c r="E44" s="18">
        <v>43.33</v>
      </c>
      <c r="F44" s="18" t="s">
        <v>69</v>
      </c>
      <c r="G44" s="18" t="s">
        <v>49</v>
      </c>
      <c r="H44" s="23" t="s">
        <v>94</v>
      </c>
      <c r="J44" s="328"/>
      <c r="K44" s="37">
        <v>24</v>
      </c>
      <c r="L44" s="38">
        <v>37</v>
      </c>
      <c r="M44" s="39">
        <v>1</v>
      </c>
      <c r="N44" s="40">
        <v>18</v>
      </c>
      <c r="O44" s="41">
        <v>1</v>
      </c>
      <c r="P44" s="42">
        <v>93</v>
      </c>
    </row>
    <row r="45" spans="1:21" ht="30">
      <c r="A45" s="22" t="s">
        <v>77</v>
      </c>
      <c r="B45" s="36" t="s">
        <v>110</v>
      </c>
      <c r="C45" s="18">
        <v>1</v>
      </c>
      <c r="D45" s="18">
        <v>1</v>
      </c>
      <c r="E45" s="18">
        <v>2</v>
      </c>
      <c r="F45" s="18" t="s">
        <v>69</v>
      </c>
      <c r="G45" s="18" t="s">
        <v>49</v>
      </c>
      <c r="H45" s="23" t="s">
        <v>94</v>
      </c>
      <c r="J45" s="328"/>
      <c r="K45" s="37">
        <v>25</v>
      </c>
      <c r="L45" s="38">
        <v>39</v>
      </c>
      <c r="M45" s="39">
        <v>1</v>
      </c>
      <c r="N45" s="40">
        <v>19</v>
      </c>
      <c r="O45" s="41">
        <v>1</v>
      </c>
      <c r="P45" s="42">
        <v>98</v>
      </c>
    </row>
    <row r="46" spans="1:21">
      <c r="A46" s="22" t="s">
        <v>111</v>
      </c>
      <c r="B46" s="36" t="s">
        <v>112</v>
      </c>
      <c r="C46" s="18">
        <v>0.03</v>
      </c>
      <c r="D46" s="18">
        <v>0.03</v>
      </c>
      <c r="E46" s="18">
        <v>0.03</v>
      </c>
      <c r="F46" s="18" t="s">
        <v>69</v>
      </c>
      <c r="G46" s="18" t="s">
        <v>49</v>
      </c>
      <c r="H46" s="23" t="s">
        <v>99</v>
      </c>
      <c r="J46" s="328" t="s">
        <v>113</v>
      </c>
      <c r="K46" s="37">
        <v>26</v>
      </c>
      <c r="L46" s="38">
        <v>41</v>
      </c>
      <c r="M46" s="39">
        <v>2</v>
      </c>
      <c r="N46" s="40">
        <v>21</v>
      </c>
      <c r="O46" s="41">
        <v>1</v>
      </c>
      <c r="P46" s="42">
        <v>105</v>
      </c>
    </row>
    <row r="47" spans="1:21">
      <c r="A47" s="22" t="s">
        <v>111</v>
      </c>
      <c r="B47" s="36" t="s">
        <v>114</v>
      </c>
      <c r="C47" s="18">
        <v>1.2</v>
      </c>
      <c r="D47" s="18">
        <v>1.4</v>
      </c>
      <c r="E47" s="18">
        <v>1.4</v>
      </c>
      <c r="F47" s="18" t="s">
        <v>69</v>
      </c>
      <c r="G47" s="18" t="s">
        <v>49</v>
      </c>
      <c r="H47" s="23" t="s">
        <v>99</v>
      </c>
      <c r="J47" s="328"/>
      <c r="K47" s="37">
        <v>27</v>
      </c>
      <c r="L47" s="38">
        <v>44</v>
      </c>
      <c r="M47" s="39">
        <v>2</v>
      </c>
      <c r="N47" s="40">
        <v>23</v>
      </c>
      <c r="O47" s="41">
        <v>1</v>
      </c>
      <c r="P47" s="42">
        <v>110</v>
      </c>
    </row>
    <row r="48" spans="1:21" ht="15.75" thickBot="1">
      <c r="A48" s="22" t="s">
        <v>111</v>
      </c>
      <c r="B48" s="36" t="s">
        <v>115</v>
      </c>
      <c r="C48" s="18">
        <v>0.02</v>
      </c>
      <c r="D48" s="18">
        <v>0.02</v>
      </c>
      <c r="E48" s="18">
        <v>0.02</v>
      </c>
      <c r="F48" s="18" t="s">
        <v>69</v>
      </c>
      <c r="G48" s="18" t="s">
        <v>49</v>
      </c>
      <c r="H48" s="23" t="s">
        <v>99</v>
      </c>
      <c r="J48" s="329"/>
      <c r="K48" s="43">
        <v>28</v>
      </c>
      <c r="L48" s="11">
        <v>45</v>
      </c>
      <c r="M48" s="44">
        <v>2</v>
      </c>
      <c r="N48" s="45">
        <v>23</v>
      </c>
      <c r="O48" s="46">
        <v>1</v>
      </c>
      <c r="P48" s="47">
        <v>112</v>
      </c>
    </row>
    <row r="49" spans="1:15">
      <c r="A49" s="22" t="s">
        <v>111</v>
      </c>
      <c r="B49" s="36" t="s">
        <v>116</v>
      </c>
      <c r="C49" s="18">
        <v>0.02</v>
      </c>
      <c r="D49" s="18">
        <v>0.03</v>
      </c>
      <c r="E49" s="18">
        <v>0.03</v>
      </c>
      <c r="F49" s="18" t="s">
        <v>69</v>
      </c>
      <c r="G49" s="18" t="s">
        <v>49</v>
      </c>
      <c r="H49" s="23" t="s">
        <v>99</v>
      </c>
    </row>
    <row r="50" spans="1:15" ht="30">
      <c r="A50" s="22" t="s">
        <v>111</v>
      </c>
      <c r="B50" s="36" t="s">
        <v>117</v>
      </c>
      <c r="C50" s="18">
        <v>0.01</v>
      </c>
      <c r="D50" s="18">
        <v>0.02</v>
      </c>
      <c r="E50" s="18">
        <v>0.02</v>
      </c>
      <c r="F50" s="18" t="s">
        <v>69</v>
      </c>
      <c r="G50" s="18" t="s">
        <v>49</v>
      </c>
      <c r="H50" s="23" t="s">
        <v>99</v>
      </c>
    </row>
    <row r="51" spans="1:15">
      <c r="A51" s="22" t="s">
        <v>118</v>
      </c>
      <c r="B51" s="36" t="s">
        <v>119</v>
      </c>
      <c r="C51" s="18">
        <v>0.22</v>
      </c>
      <c r="D51" s="18">
        <v>0.22</v>
      </c>
      <c r="E51" s="18">
        <v>0.22</v>
      </c>
      <c r="F51" s="18" t="s">
        <v>69</v>
      </c>
      <c r="G51" s="18" t="s">
        <v>49</v>
      </c>
      <c r="H51" s="23" t="s">
        <v>120</v>
      </c>
    </row>
    <row r="52" spans="1:15" ht="15.75" thickBot="1">
      <c r="A52" s="24" t="s">
        <v>118</v>
      </c>
      <c r="B52" s="48" t="s">
        <v>121</v>
      </c>
      <c r="C52" s="12">
        <v>0.08</v>
      </c>
      <c r="D52" s="12">
        <v>0.08</v>
      </c>
      <c r="E52" s="12">
        <v>0.08</v>
      </c>
      <c r="F52" s="12" t="s">
        <v>69</v>
      </c>
      <c r="G52" s="12" t="s">
        <v>49</v>
      </c>
      <c r="H52" s="13" t="s">
        <v>120</v>
      </c>
    </row>
    <row r="53" spans="1:15">
      <c r="A53" s="49"/>
      <c r="B53" s="49"/>
      <c r="C53" s="50"/>
      <c r="D53" s="50"/>
      <c r="E53" s="50"/>
      <c r="F53" s="50"/>
      <c r="G53" s="50"/>
      <c r="H53" s="50"/>
    </row>
    <row r="54" spans="1:15">
      <c r="A54" s="49"/>
      <c r="B54" s="49"/>
      <c r="C54" s="50"/>
      <c r="D54" s="50"/>
      <c r="E54" s="50"/>
      <c r="F54" s="50"/>
      <c r="G54" s="50"/>
      <c r="H54" s="50"/>
    </row>
    <row r="55" spans="1:15">
      <c r="A55" s="49"/>
      <c r="B55" s="49"/>
      <c r="C55" s="50"/>
      <c r="D55" s="50"/>
      <c r="E55" s="50"/>
      <c r="F55" s="50"/>
      <c r="G55" s="50"/>
      <c r="H55" s="50"/>
    </row>
    <row r="56" spans="1:15">
      <c r="A56" s="49"/>
      <c r="B56" s="49"/>
      <c r="C56" s="50"/>
      <c r="D56" s="50"/>
      <c r="E56" s="50"/>
      <c r="F56" s="50"/>
      <c r="G56" s="50"/>
      <c r="H56" s="50"/>
    </row>
    <row r="57" spans="1:15" ht="15.75" thickBot="1"/>
    <row r="58" spans="1:15" ht="42" customHeight="1" thickBot="1">
      <c r="A58" s="51" t="s">
        <v>122</v>
      </c>
      <c r="B58" s="318" t="s">
        <v>123</v>
      </c>
      <c r="C58" s="319"/>
      <c r="D58" s="319"/>
      <c r="E58" s="320" t="s">
        <v>124</v>
      </c>
      <c r="F58" s="321"/>
      <c r="G58" s="321"/>
      <c r="H58" s="321"/>
      <c r="I58" s="321"/>
      <c r="J58" s="321"/>
      <c r="K58" s="321"/>
      <c r="L58" s="321"/>
      <c r="M58" s="322"/>
      <c r="N58" s="323" t="s">
        <v>81</v>
      </c>
      <c r="O58" s="322"/>
    </row>
    <row r="59" spans="1:15" s="57" customFormat="1" ht="30.75" thickBot="1">
      <c r="A59" s="51" t="s">
        <v>40</v>
      </c>
      <c r="B59" s="52" t="s">
        <v>125</v>
      </c>
      <c r="C59" s="20" t="s">
        <v>126</v>
      </c>
      <c r="D59" s="53" t="s">
        <v>127</v>
      </c>
      <c r="E59" s="54" t="s">
        <v>128</v>
      </c>
      <c r="F59" s="52" t="s">
        <v>129</v>
      </c>
      <c r="G59" s="52" t="s">
        <v>130</v>
      </c>
      <c r="H59" s="20" t="s">
        <v>131</v>
      </c>
      <c r="I59" s="20" t="s">
        <v>132</v>
      </c>
      <c r="J59" s="20" t="s">
        <v>133</v>
      </c>
      <c r="K59" s="20" t="s">
        <v>134</v>
      </c>
      <c r="L59" s="20" t="s">
        <v>135</v>
      </c>
      <c r="M59" s="55" t="s">
        <v>136</v>
      </c>
      <c r="N59" s="56" t="s">
        <v>42</v>
      </c>
      <c r="O59" s="55" t="s">
        <v>43</v>
      </c>
    </row>
    <row r="60" spans="1:15" ht="30">
      <c r="A60" s="58" t="s">
        <v>90</v>
      </c>
      <c r="B60" s="9">
        <v>46</v>
      </c>
      <c r="C60" s="9">
        <v>0.48</v>
      </c>
      <c r="D60" s="32">
        <v>0.27</v>
      </c>
      <c r="E60" s="8">
        <v>32.799999999999997</v>
      </c>
      <c r="F60" s="9">
        <v>18.5</v>
      </c>
      <c r="G60" s="9">
        <v>4.2</v>
      </c>
      <c r="H60" s="9">
        <v>4</v>
      </c>
      <c r="I60" s="9">
        <v>0</v>
      </c>
      <c r="J60" s="9">
        <v>40.6</v>
      </c>
      <c r="K60" s="9">
        <v>0</v>
      </c>
      <c r="L60" s="9">
        <v>0</v>
      </c>
      <c r="M60" s="10">
        <v>0</v>
      </c>
      <c r="N60" s="59" t="s">
        <v>49</v>
      </c>
      <c r="O60" s="10" t="s">
        <v>137</v>
      </c>
    </row>
    <row r="61" spans="1:15" ht="30">
      <c r="A61" s="60" t="s">
        <v>138</v>
      </c>
      <c r="B61" s="18">
        <v>50</v>
      </c>
      <c r="C61" s="18">
        <v>0.45</v>
      </c>
      <c r="D61" s="39">
        <v>0.3</v>
      </c>
      <c r="E61" s="38">
        <v>8.6999999999999993</v>
      </c>
      <c r="F61" s="18">
        <v>0</v>
      </c>
      <c r="G61" s="18">
        <v>13.7</v>
      </c>
      <c r="H61" s="18">
        <v>0</v>
      </c>
      <c r="I61" s="18">
        <v>2.8</v>
      </c>
      <c r="J61" s="18">
        <v>69.8</v>
      </c>
      <c r="K61" s="18">
        <v>2</v>
      </c>
      <c r="L61" s="18">
        <v>0</v>
      </c>
      <c r="M61" s="23">
        <v>3</v>
      </c>
      <c r="N61" s="61" t="s">
        <v>49</v>
      </c>
      <c r="O61" s="23" t="s">
        <v>137</v>
      </c>
    </row>
    <row r="62" spans="1:15" ht="30">
      <c r="A62" s="60" t="s">
        <v>139</v>
      </c>
      <c r="B62" s="18">
        <v>50</v>
      </c>
      <c r="C62" s="18">
        <v>0.45</v>
      </c>
      <c r="D62" s="39">
        <v>0.3</v>
      </c>
      <c r="E62" s="38">
        <v>3</v>
      </c>
      <c r="F62" s="18">
        <v>0</v>
      </c>
      <c r="G62" s="18">
        <v>42</v>
      </c>
      <c r="H62" s="18">
        <v>0</v>
      </c>
      <c r="I62" s="18">
        <v>24.7</v>
      </c>
      <c r="J62" s="18">
        <v>24.7</v>
      </c>
      <c r="K62" s="18">
        <v>0</v>
      </c>
      <c r="L62" s="18">
        <v>0</v>
      </c>
      <c r="M62" s="23">
        <v>5.7</v>
      </c>
      <c r="N62" s="61" t="s">
        <v>49</v>
      </c>
      <c r="O62" s="23" t="s">
        <v>137</v>
      </c>
    </row>
    <row r="63" spans="1:15">
      <c r="A63" s="60" t="s">
        <v>55</v>
      </c>
      <c r="B63" s="18">
        <v>45</v>
      </c>
      <c r="C63" s="18">
        <v>0.45</v>
      </c>
      <c r="D63" s="39">
        <v>0.28000000000000003</v>
      </c>
      <c r="E63" s="38">
        <v>54</v>
      </c>
      <c r="F63" s="18">
        <v>0</v>
      </c>
      <c r="G63" s="18">
        <v>3</v>
      </c>
      <c r="H63" s="18">
        <v>15</v>
      </c>
      <c r="I63" s="18">
        <v>0</v>
      </c>
      <c r="J63" s="18">
        <v>0</v>
      </c>
      <c r="K63" s="18">
        <v>0</v>
      </c>
      <c r="L63" s="18">
        <v>0</v>
      </c>
      <c r="M63" s="23">
        <v>28</v>
      </c>
      <c r="N63" s="61" t="s">
        <v>49</v>
      </c>
      <c r="O63" s="23" t="s">
        <v>137</v>
      </c>
    </row>
    <row r="64" spans="1:15" ht="30">
      <c r="A64" s="60" t="s">
        <v>91</v>
      </c>
      <c r="B64" s="18">
        <v>28</v>
      </c>
      <c r="C64" s="18">
        <v>0.28999999999999998</v>
      </c>
      <c r="D64" s="39">
        <v>0.3</v>
      </c>
      <c r="E64" s="38">
        <v>0</v>
      </c>
      <c r="F64" s="18">
        <v>8</v>
      </c>
      <c r="G64" s="18">
        <v>10</v>
      </c>
      <c r="H64" s="18">
        <v>41</v>
      </c>
      <c r="I64" s="18">
        <v>0</v>
      </c>
      <c r="J64" s="18">
        <v>0</v>
      </c>
      <c r="K64" s="18">
        <v>2</v>
      </c>
      <c r="L64" s="18">
        <v>0</v>
      </c>
      <c r="M64" s="23">
        <v>40</v>
      </c>
      <c r="N64" s="61" t="s">
        <v>49</v>
      </c>
      <c r="O64" s="23" t="s">
        <v>137</v>
      </c>
    </row>
    <row r="65" spans="1:28">
      <c r="A65" s="60" t="s">
        <v>140</v>
      </c>
      <c r="B65" s="18">
        <v>28</v>
      </c>
      <c r="C65" s="18">
        <v>0.28999999999999998</v>
      </c>
      <c r="D65" s="39">
        <v>0.3</v>
      </c>
      <c r="E65" s="38">
        <v>0</v>
      </c>
      <c r="F65" s="18">
        <v>6</v>
      </c>
      <c r="G65" s="18">
        <v>6</v>
      </c>
      <c r="H65" s="18">
        <v>87</v>
      </c>
      <c r="I65" s="18">
        <v>1</v>
      </c>
      <c r="J65" s="18">
        <v>0</v>
      </c>
      <c r="K65" s="18">
        <v>0</v>
      </c>
      <c r="L65" s="18">
        <v>0</v>
      </c>
      <c r="M65" s="23">
        <v>0</v>
      </c>
      <c r="N65" s="61" t="s">
        <v>49</v>
      </c>
      <c r="O65" s="23" t="s">
        <v>137</v>
      </c>
    </row>
    <row r="66" spans="1:28">
      <c r="A66" s="60" t="s">
        <v>141</v>
      </c>
      <c r="B66" s="18">
        <v>28</v>
      </c>
      <c r="C66" s="18">
        <v>0.28999999999999998</v>
      </c>
      <c r="D66" s="39">
        <v>0.3</v>
      </c>
      <c r="E66" s="38">
        <v>0</v>
      </c>
      <c r="F66" s="18">
        <v>14</v>
      </c>
      <c r="G66" s="18">
        <v>0</v>
      </c>
      <c r="H66" s="18">
        <v>69</v>
      </c>
      <c r="I66" s="18">
        <v>0</v>
      </c>
      <c r="J66" s="18">
        <v>17</v>
      </c>
      <c r="K66" s="18">
        <v>0</v>
      </c>
      <c r="L66" s="18">
        <v>0</v>
      </c>
      <c r="M66" s="23">
        <v>0</v>
      </c>
      <c r="N66" s="61" t="s">
        <v>49</v>
      </c>
      <c r="O66" s="23" t="s">
        <v>137</v>
      </c>
    </row>
    <row r="67" spans="1:28">
      <c r="A67" s="60" t="s">
        <v>56</v>
      </c>
      <c r="B67" s="18">
        <v>28</v>
      </c>
      <c r="C67" s="18">
        <v>0.28999999999999998</v>
      </c>
      <c r="D67" s="39">
        <v>0.3</v>
      </c>
      <c r="E67" s="38">
        <v>0</v>
      </c>
      <c r="F67" s="18">
        <v>40</v>
      </c>
      <c r="G67" s="18">
        <v>0</v>
      </c>
      <c r="H67" s="18">
        <v>54</v>
      </c>
      <c r="I67" s="18">
        <v>0</v>
      </c>
      <c r="J67" s="18">
        <v>0</v>
      </c>
      <c r="K67" s="18">
        <v>0</v>
      </c>
      <c r="L67" s="18">
        <v>7</v>
      </c>
      <c r="M67" s="23">
        <v>0</v>
      </c>
      <c r="N67" s="61" t="s">
        <v>49</v>
      </c>
      <c r="O67" s="23" t="s">
        <v>137</v>
      </c>
    </row>
    <row r="68" spans="1:28" ht="45.75" thickBot="1">
      <c r="A68" s="62" t="s">
        <v>142</v>
      </c>
      <c r="B68" s="12">
        <v>28</v>
      </c>
      <c r="C68" s="12">
        <v>0.28999999999999998</v>
      </c>
      <c r="D68" s="44">
        <v>0.3</v>
      </c>
      <c r="E68" s="11">
        <v>9</v>
      </c>
      <c r="F68" s="12">
        <v>22</v>
      </c>
      <c r="G68" s="12">
        <v>16</v>
      </c>
      <c r="H68" s="12">
        <v>30</v>
      </c>
      <c r="I68" s="12">
        <v>3</v>
      </c>
      <c r="J68" s="12">
        <v>0</v>
      </c>
      <c r="K68" s="12">
        <v>9</v>
      </c>
      <c r="L68" s="12">
        <v>8</v>
      </c>
      <c r="M68" s="13">
        <v>3</v>
      </c>
      <c r="N68" s="63" t="s">
        <v>49</v>
      </c>
      <c r="O68" s="13" t="s">
        <v>137</v>
      </c>
    </row>
    <row r="69" spans="1:28">
      <c r="A69" s="64"/>
    </row>
    <row r="70" spans="1:28" ht="15.75" thickBot="1">
      <c r="A70" s="64"/>
    </row>
    <row r="71" spans="1:28" ht="15.75" thickBot="1">
      <c r="A71" s="330" t="s">
        <v>143</v>
      </c>
      <c r="B71" s="319"/>
      <c r="C71" s="319"/>
      <c r="D71" s="319"/>
      <c r="E71" s="319"/>
      <c r="F71" s="319"/>
      <c r="G71" s="319"/>
      <c r="H71" s="319"/>
      <c r="I71" s="319"/>
      <c r="J71" s="319"/>
      <c r="K71" s="331"/>
      <c r="L71" s="323" t="s">
        <v>81</v>
      </c>
      <c r="M71" s="322"/>
      <c r="P71" s="330" t="s">
        <v>144</v>
      </c>
      <c r="Q71" s="319"/>
      <c r="R71" s="319"/>
      <c r="S71" s="319"/>
      <c r="T71" s="319"/>
      <c r="U71" s="319"/>
      <c r="V71" s="319"/>
      <c r="W71" s="319"/>
      <c r="X71" s="319"/>
      <c r="Y71" s="319"/>
      <c r="Z71" s="331"/>
      <c r="AA71" s="65" t="s">
        <v>145</v>
      </c>
      <c r="AB71" s="66"/>
    </row>
    <row r="72" spans="1:28" ht="45.75" thickBot="1">
      <c r="A72" s="25" t="s">
        <v>88</v>
      </c>
      <c r="B72" s="67" t="s">
        <v>89</v>
      </c>
      <c r="C72" s="20" t="s">
        <v>128</v>
      </c>
      <c r="D72" s="52" t="s">
        <v>129</v>
      </c>
      <c r="E72" s="52" t="s">
        <v>130</v>
      </c>
      <c r="F72" s="20" t="s">
        <v>131</v>
      </c>
      <c r="G72" s="20" t="s">
        <v>132</v>
      </c>
      <c r="H72" s="20" t="s">
        <v>133</v>
      </c>
      <c r="I72" s="20" t="s">
        <v>134</v>
      </c>
      <c r="J72" s="20" t="s">
        <v>135</v>
      </c>
      <c r="K72" s="55" t="s">
        <v>136</v>
      </c>
      <c r="L72" s="56" t="s">
        <v>42</v>
      </c>
      <c r="M72" s="55" t="s">
        <v>43</v>
      </c>
      <c r="P72" s="25" t="s">
        <v>88</v>
      </c>
      <c r="Q72" s="67" t="s">
        <v>89</v>
      </c>
      <c r="R72" s="20" t="s">
        <v>128</v>
      </c>
      <c r="S72" s="52" t="s">
        <v>129</v>
      </c>
      <c r="T72" s="52" t="s">
        <v>130</v>
      </c>
      <c r="U72" s="20" t="s">
        <v>131</v>
      </c>
      <c r="V72" s="20" t="s">
        <v>146</v>
      </c>
      <c r="W72" s="20" t="s">
        <v>134</v>
      </c>
      <c r="X72" s="20" t="s">
        <v>135</v>
      </c>
      <c r="Y72" s="55" t="s">
        <v>136</v>
      </c>
      <c r="Z72" s="56" t="s">
        <v>42</v>
      </c>
      <c r="AA72" s="55" t="s">
        <v>43</v>
      </c>
    </row>
    <row r="73" spans="1:28" ht="15.75" thickBot="1">
      <c r="A73" s="327" t="s">
        <v>92</v>
      </c>
      <c r="B73" s="68">
        <v>10</v>
      </c>
      <c r="C73" s="16">
        <v>66</v>
      </c>
      <c r="D73" s="16">
        <v>17</v>
      </c>
      <c r="E73" s="16">
        <v>2</v>
      </c>
      <c r="F73" s="16">
        <v>1</v>
      </c>
      <c r="G73" s="16">
        <v>3</v>
      </c>
      <c r="H73" s="16">
        <v>17</v>
      </c>
      <c r="I73" s="16">
        <v>0.1</v>
      </c>
      <c r="J73" s="16">
        <v>10</v>
      </c>
      <c r="K73" s="69">
        <v>1</v>
      </c>
      <c r="L73" s="70" t="s">
        <v>49</v>
      </c>
      <c r="M73" s="71" t="s">
        <v>137</v>
      </c>
      <c r="P73" s="327" t="s">
        <v>92</v>
      </c>
      <c r="Q73" s="68">
        <v>10</v>
      </c>
      <c r="R73" s="16">
        <v>66</v>
      </c>
      <c r="S73" s="16">
        <v>17</v>
      </c>
      <c r="T73" s="16">
        <v>2</v>
      </c>
      <c r="U73" s="16">
        <v>1</v>
      </c>
      <c r="V73" s="16">
        <v>1</v>
      </c>
      <c r="W73" s="16">
        <v>1</v>
      </c>
      <c r="X73" s="16">
        <v>10</v>
      </c>
      <c r="Y73" s="69">
        <v>1</v>
      </c>
      <c r="Z73" s="70" t="s">
        <v>49</v>
      </c>
      <c r="AA73" s="71" t="s">
        <v>147</v>
      </c>
    </row>
    <row r="74" spans="1:28" ht="15.75" thickBot="1">
      <c r="A74" s="328"/>
      <c r="B74" s="72">
        <v>11</v>
      </c>
      <c r="C74" s="17">
        <v>68</v>
      </c>
      <c r="D74" s="17">
        <v>19</v>
      </c>
      <c r="E74" s="17">
        <v>2</v>
      </c>
      <c r="F74" s="17">
        <v>1</v>
      </c>
      <c r="G74" s="17">
        <v>3</v>
      </c>
      <c r="H74" s="17">
        <v>19</v>
      </c>
      <c r="I74" s="17">
        <v>0.1</v>
      </c>
      <c r="J74" s="17">
        <v>10</v>
      </c>
      <c r="K74" s="73">
        <v>1</v>
      </c>
      <c r="L74" s="8" t="s">
        <v>148</v>
      </c>
      <c r="M74" s="10" t="s">
        <v>149</v>
      </c>
      <c r="P74" s="328"/>
      <c r="Q74" s="72">
        <v>11</v>
      </c>
      <c r="R74" s="17">
        <v>68</v>
      </c>
      <c r="S74" s="17">
        <v>19</v>
      </c>
      <c r="T74" s="17">
        <v>2</v>
      </c>
      <c r="U74" s="17">
        <v>1</v>
      </c>
      <c r="V74" s="17">
        <v>1</v>
      </c>
      <c r="W74" s="17">
        <v>1</v>
      </c>
      <c r="X74" s="17">
        <v>10</v>
      </c>
      <c r="Y74" s="73">
        <v>1</v>
      </c>
      <c r="Z74" s="70" t="s">
        <v>49</v>
      </c>
      <c r="AA74" s="71" t="s">
        <v>147</v>
      </c>
    </row>
    <row r="75" spans="1:28" ht="15.75" thickBot="1">
      <c r="A75" s="328"/>
      <c r="B75" s="72">
        <v>12</v>
      </c>
      <c r="C75" s="17">
        <v>70</v>
      </c>
      <c r="D75" s="17">
        <v>20</v>
      </c>
      <c r="E75" s="17">
        <v>2</v>
      </c>
      <c r="F75" s="17">
        <v>1</v>
      </c>
      <c r="G75" s="17">
        <v>3</v>
      </c>
      <c r="H75" s="17">
        <v>20</v>
      </c>
      <c r="I75" s="17">
        <v>0.1</v>
      </c>
      <c r="J75" s="17">
        <v>10</v>
      </c>
      <c r="K75" s="73">
        <v>1</v>
      </c>
      <c r="L75" s="8" t="s">
        <v>150</v>
      </c>
      <c r="M75" s="10" t="s">
        <v>151</v>
      </c>
      <c r="P75" s="328"/>
      <c r="Q75" s="72">
        <v>12</v>
      </c>
      <c r="R75" s="17">
        <v>70</v>
      </c>
      <c r="S75" s="17">
        <v>20</v>
      </c>
      <c r="T75" s="17">
        <v>2</v>
      </c>
      <c r="U75" s="17">
        <v>1</v>
      </c>
      <c r="V75" s="17">
        <v>1</v>
      </c>
      <c r="W75" s="17">
        <v>1</v>
      </c>
      <c r="X75" s="17">
        <v>10</v>
      </c>
      <c r="Y75" s="73">
        <v>1</v>
      </c>
      <c r="Z75" s="70" t="s">
        <v>49</v>
      </c>
      <c r="AA75" s="71" t="s">
        <v>147</v>
      </c>
    </row>
    <row r="76" spans="1:28" ht="15.75" thickBot="1">
      <c r="A76" s="328"/>
      <c r="B76" s="72">
        <v>13</v>
      </c>
      <c r="C76" s="17">
        <v>71</v>
      </c>
      <c r="D76" s="17">
        <v>22</v>
      </c>
      <c r="E76" s="17">
        <v>2</v>
      </c>
      <c r="F76" s="17">
        <v>1</v>
      </c>
      <c r="G76" s="17">
        <v>3</v>
      </c>
      <c r="H76" s="17">
        <v>22</v>
      </c>
      <c r="I76" s="17">
        <v>0.1</v>
      </c>
      <c r="J76" s="17">
        <v>10</v>
      </c>
      <c r="K76" s="73">
        <v>1</v>
      </c>
      <c r="L76" s="8" t="s">
        <v>152</v>
      </c>
      <c r="M76" s="10" t="s">
        <v>153</v>
      </c>
      <c r="P76" s="328"/>
      <c r="Q76" s="72">
        <v>13</v>
      </c>
      <c r="R76" s="17">
        <v>71</v>
      </c>
      <c r="S76" s="17">
        <v>22</v>
      </c>
      <c r="T76" s="17">
        <v>2</v>
      </c>
      <c r="U76" s="17">
        <v>1</v>
      </c>
      <c r="V76" s="17">
        <v>1</v>
      </c>
      <c r="W76" s="17">
        <v>1</v>
      </c>
      <c r="X76" s="17">
        <v>10</v>
      </c>
      <c r="Y76" s="73">
        <v>1</v>
      </c>
      <c r="Z76" s="70" t="s">
        <v>49</v>
      </c>
      <c r="AA76" s="71" t="s">
        <v>147</v>
      </c>
    </row>
    <row r="77" spans="1:28" ht="15.75" thickBot="1">
      <c r="A77" s="328"/>
      <c r="B77" s="72">
        <v>14</v>
      </c>
      <c r="C77" s="17">
        <v>73</v>
      </c>
      <c r="D77" s="17">
        <v>25</v>
      </c>
      <c r="E77" s="17">
        <v>2</v>
      </c>
      <c r="F77" s="17">
        <v>1.5</v>
      </c>
      <c r="G77" s="17">
        <v>3</v>
      </c>
      <c r="H77" s="17">
        <v>25</v>
      </c>
      <c r="I77" s="17">
        <v>0.1</v>
      </c>
      <c r="J77" s="17">
        <v>10</v>
      </c>
      <c r="K77" s="73">
        <v>1</v>
      </c>
      <c r="L77" s="8" t="s">
        <v>154</v>
      </c>
      <c r="M77" s="10" t="s">
        <v>155</v>
      </c>
      <c r="P77" s="328"/>
      <c r="Q77" s="72">
        <v>14</v>
      </c>
      <c r="R77" s="17">
        <v>73</v>
      </c>
      <c r="S77" s="17">
        <v>25</v>
      </c>
      <c r="T77" s="17">
        <v>2</v>
      </c>
      <c r="U77" s="17">
        <v>1.5</v>
      </c>
      <c r="V77" s="17">
        <v>1</v>
      </c>
      <c r="W77" s="17">
        <v>1</v>
      </c>
      <c r="X77" s="17">
        <v>10</v>
      </c>
      <c r="Y77" s="73">
        <v>1</v>
      </c>
      <c r="Z77" s="70" t="s">
        <v>49</v>
      </c>
      <c r="AA77" s="71" t="s">
        <v>147</v>
      </c>
    </row>
    <row r="78" spans="1:28" ht="15.75" thickBot="1">
      <c r="A78" s="328" t="s">
        <v>100</v>
      </c>
      <c r="B78" s="72">
        <v>15</v>
      </c>
      <c r="C78" s="17">
        <v>74</v>
      </c>
      <c r="D78" s="17">
        <v>27</v>
      </c>
      <c r="E78" s="17">
        <v>4</v>
      </c>
      <c r="F78" s="17">
        <v>1.5</v>
      </c>
      <c r="G78" s="17">
        <v>3</v>
      </c>
      <c r="H78" s="17">
        <v>27</v>
      </c>
      <c r="I78" s="74">
        <v>1.5</v>
      </c>
      <c r="J78" s="17">
        <v>10</v>
      </c>
      <c r="K78" s="73">
        <v>1</v>
      </c>
      <c r="L78" s="8" t="s">
        <v>156</v>
      </c>
      <c r="M78" s="10" t="s">
        <v>157</v>
      </c>
      <c r="P78" s="328" t="s">
        <v>100</v>
      </c>
      <c r="Q78" s="72">
        <v>15</v>
      </c>
      <c r="R78" s="17">
        <v>74</v>
      </c>
      <c r="S78" s="17">
        <v>27</v>
      </c>
      <c r="T78" s="17">
        <v>4</v>
      </c>
      <c r="U78" s="17">
        <v>1.5</v>
      </c>
      <c r="V78" s="17">
        <v>1.5</v>
      </c>
      <c r="W78" s="74">
        <v>1.5</v>
      </c>
      <c r="X78" s="17">
        <v>10</v>
      </c>
      <c r="Y78" s="73">
        <v>1</v>
      </c>
      <c r="Z78" s="70" t="s">
        <v>49</v>
      </c>
      <c r="AA78" s="71" t="s">
        <v>147</v>
      </c>
    </row>
    <row r="79" spans="1:28" ht="15.75" thickBot="1">
      <c r="A79" s="328"/>
      <c r="B79" s="72">
        <v>16</v>
      </c>
      <c r="C79" s="17">
        <v>75</v>
      </c>
      <c r="D79" s="17">
        <v>29</v>
      </c>
      <c r="E79" s="17">
        <v>4</v>
      </c>
      <c r="F79" s="17">
        <v>1.5</v>
      </c>
      <c r="G79" s="17">
        <v>3</v>
      </c>
      <c r="H79" s="17">
        <v>29</v>
      </c>
      <c r="I79" s="74">
        <v>1.5</v>
      </c>
      <c r="J79" s="17">
        <v>10</v>
      </c>
      <c r="K79" s="73">
        <v>1</v>
      </c>
      <c r="L79" s="8" t="s">
        <v>158</v>
      </c>
      <c r="M79" s="10" t="s">
        <v>159</v>
      </c>
      <c r="P79" s="328"/>
      <c r="Q79" s="72">
        <v>16</v>
      </c>
      <c r="R79" s="17">
        <v>75</v>
      </c>
      <c r="S79" s="17">
        <v>29</v>
      </c>
      <c r="T79" s="17">
        <v>4</v>
      </c>
      <c r="U79" s="17">
        <v>1.5</v>
      </c>
      <c r="V79" s="17">
        <v>1.5</v>
      </c>
      <c r="W79" s="74">
        <v>1.5</v>
      </c>
      <c r="X79" s="17">
        <v>10</v>
      </c>
      <c r="Y79" s="73">
        <v>1</v>
      </c>
      <c r="Z79" s="70" t="s">
        <v>49</v>
      </c>
      <c r="AA79" s="71" t="s">
        <v>147</v>
      </c>
    </row>
    <row r="80" spans="1:28" ht="15.75" thickBot="1">
      <c r="A80" s="328"/>
      <c r="B80" s="72">
        <v>17</v>
      </c>
      <c r="C80" s="17">
        <v>76</v>
      </c>
      <c r="D80" s="17">
        <v>32</v>
      </c>
      <c r="E80" s="17">
        <v>4</v>
      </c>
      <c r="F80" s="17">
        <v>1.5</v>
      </c>
      <c r="G80" s="17">
        <v>3</v>
      </c>
      <c r="H80" s="17">
        <v>32</v>
      </c>
      <c r="I80" s="74">
        <v>1.5</v>
      </c>
      <c r="J80" s="17">
        <v>10</v>
      </c>
      <c r="K80" s="73">
        <v>1</v>
      </c>
      <c r="L80" s="8" t="s">
        <v>160</v>
      </c>
      <c r="M80" s="10" t="s">
        <v>161</v>
      </c>
      <c r="P80" s="328"/>
      <c r="Q80" s="72">
        <v>17</v>
      </c>
      <c r="R80" s="17">
        <v>76</v>
      </c>
      <c r="S80" s="17">
        <v>32</v>
      </c>
      <c r="T80" s="17">
        <v>4</v>
      </c>
      <c r="U80" s="17">
        <v>1.5</v>
      </c>
      <c r="V80" s="17">
        <v>1.5</v>
      </c>
      <c r="W80" s="74">
        <v>1.5</v>
      </c>
      <c r="X80" s="17">
        <v>10</v>
      </c>
      <c r="Y80" s="73">
        <v>1</v>
      </c>
      <c r="Z80" s="70" t="s">
        <v>49</v>
      </c>
      <c r="AA80" s="71" t="s">
        <v>147</v>
      </c>
    </row>
    <row r="81" spans="1:27" ht="15.75" thickBot="1">
      <c r="A81" s="328"/>
      <c r="B81" s="72">
        <v>18</v>
      </c>
      <c r="C81" s="17">
        <v>77</v>
      </c>
      <c r="D81" s="17">
        <v>35</v>
      </c>
      <c r="E81" s="17">
        <v>4</v>
      </c>
      <c r="F81" s="17">
        <v>1.5</v>
      </c>
      <c r="G81" s="17">
        <v>3</v>
      </c>
      <c r="H81" s="17">
        <v>35</v>
      </c>
      <c r="I81" s="74">
        <v>1.5</v>
      </c>
      <c r="J81" s="17">
        <v>10</v>
      </c>
      <c r="K81" s="73">
        <v>1</v>
      </c>
      <c r="L81" s="8" t="s">
        <v>162</v>
      </c>
      <c r="M81" s="10" t="s">
        <v>163</v>
      </c>
      <c r="P81" s="328"/>
      <c r="Q81" s="72">
        <v>18</v>
      </c>
      <c r="R81" s="17">
        <v>77</v>
      </c>
      <c r="S81" s="17">
        <v>35</v>
      </c>
      <c r="T81" s="17">
        <v>4</v>
      </c>
      <c r="U81" s="17">
        <v>1.5</v>
      </c>
      <c r="V81" s="17">
        <v>1.5</v>
      </c>
      <c r="W81" s="74">
        <v>1.5</v>
      </c>
      <c r="X81" s="17">
        <v>10</v>
      </c>
      <c r="Y81" s="73">
        <v>1</v>
      </c>
      <c r="Z81" s="70" t="s">
        <v>49</v>
      </c>
      <c r="AA81" s="71" t="s">
        <v>147</v>
      </c>
    </row>
    <row r="82" spans="1:27" ht="15.75" thickBot="1">
      <c r="A82" s="328"/>
      <c r="B82" s="72">
        <v>19</v>
      </c>
      <c r="C82" s="17">
        <v>77</v>
      </c>
      <c r="D82" s="17">
        <v>39</v>
      </c>
      <c r="E82" s="17">
        <v>4</v>
      </c>
      <c r="F82" s="17">
        <v>1.5</v>
      </c>
      <c r="G82" s="17">
        <v>3</v>
      </c>
      <c r="H82" s="17">
        <v>39</v>
      </c>
      <c r="I82" s="74">
        <v>1.5</v>
      </c>
      <c r="J82" s="17">
        <v>10</v>
      </c>
      <c r="K82" s="73">
        <v>1</v>
      </c>
      <c r="L82" s="8" t="s">
        <v>164</v>
      </c>
      <c r="M82" s="10" t="s">
        <v>165</v>
      </c>
      <c r="P82" s="328"/>
      <c r="Q82" s="72">
        <v>19</v>
      </c>
      <c r="R82" s="17">
        <v>77</v>
      </c>
      <c r="S82" s="17">
        <v>39</v>
      </c>
      <c r="T82" s="17">
        <v>4</v>
      </c>
      <c r="U82" s="17">
        <v>1.5</v>
      </c>
      <c r="V82" s="17">
        <v>1.5</v>
      </c>
      <c r="W82" s="74">
        <v>1.5</v>
      </c>
      <c r="X82" s="17">
        <v>10</v>
      </c>
      <c r="Y82" s="73">
        <v>1</v>
      </c>
      <c r="Z82" s="70" t="s">
        <v>49</v>
      </c>
      <c r="AA82" s="71" t="s">
        <v>147</v>
      </c>
    </row>
    <row r="83" spans="1:27" ht="15.75" thickBot="1">
      <c r="A83" s="328"/>
      <c r="B83" s="72">
        <v>20</v>
      </c>
      <c r="C83" s="17">
        <v>78</v>
      </c>
      <c r="D83" s="17">
        <v>42</v>
      </c>
      <c r="E83" s="17">
        <v>4</v>
      </c>
      <c r="F83" s="17">
        <v>1.5</v>
      </c>
      <c r="G83" s="17">
        <v>3</v>
      </c>
      <c r="H83" s="17">
        <v>42</v>
      </c>
      <c r="I83" s="74">
        <v>1.5</v>
      </c>
      <c r="J83" s="17">
        <v>10</v>
      </c>
      <c r="K83" s="73">
        <v>1</v>
      </c>
      <c r="L83" s="8" t="s">
        <v>166</v>
      </c>
      <c r="M83" s="10" t="s">
        <v>167</v>
      </c>
      <c r="P83" s="328"/>
      <c r="Q83" s="72">
        <v>20</v>
      </c>
      <c r="R83" s="17">
        <v>78</v>
      </c>
      <c r="S83" s="17">
        <v>42</v>
      </c>
      <c r="T83" s="17">
        <v>4</v>
      </c>
      <c r="U83" s="17">
        <v>1.5</v>
      </c>
      <c r="V83" s="17">
        <v>1.5</v>
      </c>
      <c r="W83" s="74">
        <v>1.5</v>
      </c>
      <c r="X83" s="17">
        <v>10</v>
      </c>
      <c r="Y83" s="73">
        <v>1</v>
      </c>
      <c r="Z83" s="70" t="s">
        <v>49</v>
      </c>
      <c r="AA83" s="71" t="s">
        <v>147</v>
      </c>
    </row>
    <row r="84" spans="1:27" ht="15.75" thickBot="1">
      <c r="A84" s="328"/>
      <c r="B84" s="72">
        <v>21</v>
      </c>
      <c r="C84" s="17">
        <v>78</v>
      </c>
      <c r="D84" s="17">
        <v>46</v>
      </c>
      <c r="E84" s="17">
        <v>4</v>
      </c>
      <c r="F84" s="17">
        <v>1.5</v>
      </c>
      <c r="G84" s="17">
        <v>3</v>
      </c>
      <c r="H84" s="17">
        <v>46</v>
      </c>
      <c r="I84" s="74">
        <v>1.5</v>
      </c>
      <c r="J84" s="17">
        <v>10</v>
      </c>
      <c r="K84" s="73">
        <v>1</v>
      </c>
      <c r="L84" s="8" t="s">
        <v>168</v>
      </c>
      <c r="M84" s="10" t="s">
        <v>169</v>
      </c>
      <c r="P84" s="328"/>
      <c r="Q84" s="72">
        <v>21</v>
      </c>
      <c r="R84" s="17">
        <v>78</v>
      </c>
      <c r="S84" s="17">
        <v>46</v>
      </c>
      <c r="T84" s="17">
        <v>4</v>
      </c>
      <c r="U84" s="17">
        <v>1.5</v>
      </c>
      <c r="V84" s="17">
        <v>1.5</v>
      </c>
      <c r="W84" s="74">
        <v>1.5</v>
      </c>
      <c r="X84" s="17">
        <v>10</v>
      </c>
      <c r="Y84" s="73">
        <v>1</v>
      </c>
      <c r="Z84" s="70" t="s">
        <v>49</v>
      </c>
      <c r="AA84" s="71" t="s">
        <v>147</v>
      </c>
    </row>
    <row r="85" spans="1:27" ht="15.75" thickBot="1">
      <c r="A85" s="328"/>
      <c r="B85" s="72">
        <v>22</v>
      </c>
      <c r="C85" s="17">
        <v>78</v>
      </c>
      <c r="D85" s="17">
        <v>50</v>
      </c>
      <c r="E85" s="17">
        <v>4</v>
      </c>
      <c r="F85" s="17">
        <v>1.5</v>
      </c>
      <c r="G85" s="17">
        <v>3</v>
      </c>
      <c r="H85" s="17">
        <v>50</v>
      </c>
      <c r="I85" s="74">
        <v>1.5</v>
      </c>
      <c r="J85" s="17">
        <v>10</v>
      </c>
      <c r="K85" s="73">
        <v>1</v>
      </c>
      <c r="L85" s="8" t="s">
        <v>170</v>
      </c>
      <c r="M85" s="10" t="s">
        <v>171</v>
      </c>
      <c r="P85" s="328"/>
      <c r="Q85" s="72">
        <v>22</v>
      </c>
      <c r="R85" s="17">
        <v>78</v>
      </c>
      <c r="S85" s="17">
        <v>50</v>
      </c>
      <c r="T85" s="17">
        <v>4</v>
      </c>
      <c r="U85" s="17">
        <v>1.5</v>
      </c>
      <c r="V85" s="17">
        <v>1.5</v>
      </c>
      <c r="W85" s="74">
        <v>1.5</v>
      </c>
      <c r="X85" s="17">
        <v>10</v>
      </c>
      <c r="Y85" s="73">
        <v>1</v>
      </c>
      <c r="Z85" s="70" t="s">
        <v>49</v>
      </c>
      <c r="AA85" s="71" t="s">
        <v>147</v>
      </c>
    </row>
    <row r="86" spans="1:27" ht="15.75" thickBot="1">
      <c r="A86" s="328"/>
      <c r="B86" s="72">
        <v>23</v>
      </c>
      <c r="C86" s="17">
        <v>79</v>
      </c>
      <c r="D86" s="17">
        <v>55</v>
      </c>
      <c r="E86" s="17">
        <v>4</v>
      </c>
      <c r="F86" s="17">
        <v>1.5</v>
      </c>
      <c r="G86" s="17">
        <v>3</v>
      </c>
      <c r="H86" s="17">
        <v>55</v>
      </c>
      <c r="I86" s="74">
        <v>1.5</v>
      </c>
      <c r="J86" s="17">
        <v>10</v>
      </c>
      <c r="K86" s="73">
        <v>1</v>
      </c>
      <c r="L86" s="8" t="s">
        <v>172</v>
      </c>
      <c r="M86" s="10" t="s">
        <v>173</v>
      </c>
      <c r="P86" s="328"/>
      <c r="Q86" s="72">
        <v>23</v>
      </c>
      <c r="R86" s="17">
        <v>79</v>
      </c>
      <c r="S86" s="17">
        <v>55</v>
      </c>
      <c r="T86" s="17">
        <v>4</v>
      </c>
      <c r="U86" s="17">
        <v>1.5</v>
      </c>
      <c r="V86" s="17">
        <v>1.5</v>
      </c>
      <c r="W86" s="74">
        <v>1.5</v>
      </c>
      <c r="X86" s="17">
        <v>10</v>
      </c>
      <c r="Y86" s="73">
        <v>1</v>
      </c>
      <c r="Z86" s="70" t="s">
        <v>49</v>
      </c>
      <c r="AA86" s="71" t="s">
        <v>147</v>
      </c>
    </row>
    <row r="87" spans="1:27" ht="15.75" thickBot="1">
      <c r="A87" s="328"/>
      <c r="B87" s="72">
        <v>24</v>
      </c>
      <c r="C87" s="17">
        <v>79</v>
      </c>
      <c r="D87" s="17">
        <v>60</v>
      </c>
      <c r="E87" s="17">
        <v>4</v>
      </c>
      <c r="F87" s="17">
        <v>1.5</v>
      </c>
      <c r="G87" s="17">
        <v>3</v>
      </c>
      <c r="H87" s="17">
        <v>60</v>
      </c>
      <c r="I87" s="74">
        <v>1.5</v>
      </c>
      <c r="J87" s="17">
        <v>10</v>
      </c>
      <c r="K87" s="73">
        <v>1</v>
      </c>
      <c r="L87" s="8" t="s">
        <v>174</v>
      </c>
      <c r="M87" s="10" t="s">
        <v>175</v>
      </c>
      <c r="P87" s="328"/>
      <c r="Q87" s="72">
        <v>24</v>
      </c>
      <c r="R87" s="17">
        <v>79</v>
      </c>
      <c r="S87" s="17">
        <v>60</v>
      </c>
      <c r="T87" s="17">
        <v>4</v>
      </c>
      <c r="U87" s="17">
        <v>1.5</v>
      </c>
      <c r="V87" s="17">
        <v>1.5</v>
      </c>
      <c r="W87" s="74">
        <v>1.5</v>
      </c>
      <c r="X87" s="17">
        <v>10</v>
      </c>
      <c r="Y87" s="73">
        <v>1</v>
      </c>
      <c r="Z87" s="70" t="s">
        <v>49</v>
      </c>
      <c r="AA87" s="71" t="s">
        <v>147</v>
      </c>
    </row>
    <row r="88" spans="1:27" ht="15.75" thickBot="1">
      <c r="A88" s="328"/>
      <c r="B88" s="72">
        <v>25</v>
      </c>
      <c r="C88" s="17">
        <v>79</v>
      </c>
      <c r="D88" s="17">
        <v>65</v>
      </c>
      <c r="E88" s="17">
        <v>4</v>
      </c>
      <c r="F88" s="17">
        <v>1.5</v>
      </c>
      <c r="G88" s="17">
        <v>3</v>
      </c>
      <c r="H88" s="17">
        <v>65</v>
      </c>
      <c r="I88" s="74">
        <v>1.5</v>
      </c>
      <c r="J88" s="17">
        <v>10</v>
      </c>
      <c r="K88" s="73">
        <v>1</v>
      </c>
      <c r="L88" s="8" t="s">
        <v>176</v>
      </c>
      <c r="M88" s="10" t="s">
        <v>177</v>
      </c>
      <c r="P88" s="328"/>
      <c r="Q88" s="72">
        <v>25</v>
      </c>
      <c r="R88" s="17">
        <v>79</v>
      </c>
      <c r="S88" s="17">
        <v>65</v>
      </c>
      <c r="T88" s="17">
        <v>4</v>
      </c>
      <c r="U88" s="17">
        <v>1.5</v>
      </c>
      <c r="V88" s="17">
        <v>1.5</v>
      </c>
      <c r="W88" s="74">
        <v>1.5</v>
      </c>
      <c r="X88" s="17">
        <v>10</v>
      </c>
      <c r="Y88" s="73">
        <v>1</v>
      </c>
      <c r="Z88" s="70" t="s">
        <v>49</v>
      </c>
      <c r="AA88" s="71" t="s">
        <v>147</v>
      </c>
    </row>
    <row r="89" spans="1:27" ht="15.75" thickBot="1">
      <c r="A89" s="328" t="s">
        <v>113</v>
      </c>
      <c r="B89" s="72">
        <v>26</v>
      </c>
      <c r="C89" s="17">
        <v>79</v>
      </c>
      <c r="D89" s="17">
        <v>71</v>
      </c>
      <c r="E89" s="17">
        <v>5</v>
      </c>
      <c r="F89" s="17">
        <v>2</v>
      </c>
      <c r="G89" s="17">
        <v>30</v>
      </c>
      <c r="H89" s="17">
        <v>71</v>
      </c>
      <c r="I89" s="74">
        <v>1</v>
      </c>
      <c r="J89" s="17">
        <v>10</v>
      </c>
      <c r="K89" s="73">
        <v>1</v>
      </c>
      <c r="L89" s="8" t="s">
        <v>178</v>
      </c>
      <c r="M89" s="10" t="s">
        <v>179</v>
      </c>
      <c r="P89" s="328" t="s">
        <v>113</v>
      </c>
      <c r="Q89" s="72">
        <v>26</v>
      </c>
      <c r="R89" s="17">
        <v>79</v>
      </c>
      <c r="S89" s="17">
        <v>71</v>
      </c>
      <c r="T89" s="17">
        <v>5</v>
      </c>
      <c r="U89" s="17">
        <v>2</v>
      </c>
      <c r="V89" s="17">
        <v>2</v>
      </c>
      <c r="W89" s="74">
        <v>2</v>
      </c>
      <c r="X89" s="17">
        <v>10</v>
      </c>
      <c r="Y89" s="73">
        <v>1</v>
      </c>
      <c r="Z89" s="70" t="s">
        <v>49</v>
      </c>
      <c r="AA89" s="71" t="s">
        <v>147</v>
      </c>
    </row>
    <row r="90" spans="1:27" ht="15.75" thickBot="1">
      <c r="A90" s="328"/>
      <c r="B90" s="72">
        <v>27</v>
      </c>
      <c r="C90" s="17">
        <v>80</v>
      </c>
      <c r="D90" s="17">
        <v>78</v>
      </c>
      <c r="E90" s="17">
        <v>5</v>
      </c>
      <c r="F90" s="17">
        <v>2</v>
      </c>
      <c r="G90" s="17">
        <v>30</v>
      </c>
      <c r="H90" s="17">
        <v>78</v>
      </c>
      <c r="I90" s="17">
        <v>1</v>
      </c>
      <c r="J90" s="17">
        <v>10</v>
      </c>
      <c r="K90" s="73">
        <v>1</v>
      </c>
      <c r="L90" s="8" t="s">
        <v>180</v>
      </c>
      <c r="M90" s="10" t="s">
        <v>181</v>
      </c>
      <c r="P90" s="328"/>
      <c r="Q90" s="72">
        <v>27</v>
      </c>
      <c r="R90" s="17">
        <v>80</v>
      </c>
      <c r="S90" s="17">
        <v>78</v>
      </c>
      <c r="T90" s="17">
        <v>5</v>
      </c>
      <c r="U90" s="17">
        <v>2</v>
      </c>
      <c r="V90" s="17">
        <v>2</v>
      </c>
      <c r="W90" s="17">
        <v>2</v>
      </c>
      <c r="X90" s="17">
        <v>10</v>
      </c>
      <c r="Y90" s="73">
        <v>1</v>
      </c>
      <c r="Z90" s="70" t="s">
        <v>49</v>
      </c>
      <c r="AA90" s="71" t="s">
        <v>147</v>
      </c>
    </row>
    <row r="91" spans="1:27" ht="15.75" thickBot="1">
      <c r="A91" s="329"/>
      <c r="B91" s="75">
        <v>28</v>
      </c>
      <c r="C91" s="76">
        <v>80</v>
      </c>
      <c r="D91" s="76">
        <v>80</v>
      </c>
      <c r="E91" s="76">
        <v>5</v>
      </c>
      <c r="F91" s="76">
        <v>2</v>
      </c>
      <c r="G91" s="76">
        <v>30</v>
      </c>
      <c r="H91" s="76">
        <v>80</v>
      </c>
      <c r="I91" s="76">
        <v>1</v>
      </c>
      <c r="J91" s="76">
        <v>10</v>
      </c>
      <c r="K91" s="77">
        <v>1</v>
      </c>
      <c r="L91" s="78" t="s">
        <v>182</v>
      </c>
      <c r="M91" s="79" t="s">
        <v>183</v>
      </c>
      <c r="P91" s="329"/>
      <c r="Q91" s="75">
        <v>28</v>
      </c>
      <c r="R91" s="76">
        <v>80</v>
      </c>
      <c r="S91" s="76">
        <v>80</v>
      </c>
      <c r="T91" s="76">
        <v>5</v>
      </c>
      <c r="U91" s="76">
        <v>2</v>
      </c>
      <c r="V91" s="76">
        <v>2</v>
      </c>
      <c r="W91" s="76">
        <v>2</v>
      </c>
      <c r="X91" s="76">
        <v>10</v>
      </c>
      <c r="Y91" s="77">
        <v>1</v>
      </c>
      <c r="Z91" s="70" t="s">
        <v>49</v>
      </c>
      <c r="AA91" s="71" t="s">
        <v>147</v>
      </c>
    </row>
    <row r="92" spans="1:27" ht="15.75" thickBot="1">
      <c r="A92" s="64"/>
    </row>
    <row r="93" spans="1:27" ht="30.75" customHeight="1" thickBot="1">
      <c r="A93" s="51" t="s">
        <v>122</v>
      </c>
      <c r="B93" s="318" t="s">
        <v>184</v>
      </c>
      <c r="C93" s="319"/>
      <c r="D93" s="319"/>
      <c r="E93" s="320" t="s">
        <v>124</v>
      </c>
      <c r="F93" s="321"/>
      <c r="G93" s="321"/>
      <c r="H93" s="321"/>
      <c r="I93" s="321"/>
      <c r="J93" s="321"/>
      <c r="K93" s="321"/>
      <c r="L93" s="321"/>
      <c r="M93" s="322"/>
      <c r="N93" s="323" t="s">
        <v>81</v>
      </c>
      <c r="O93" s="322"/>
    </row>
    <row r="94" spans="1:27" ht="30.75" customHeight="1" thickBot="1">
      <c r="A94" s="51" t="s">
        <v>40</v>
      </c>
      <c r="B94" s="52" t="s">
        <v>125</v>
      </c>
      <c r="C94" s="20" t="s">
        <v>126</v>
      </c>
      <c r="D94" s="53" t="s">
        <v>127</v>
      </c>
      <c r="E94" s="54" t="s">
        <v>128</v>
      </c>
      <c r="F94" s="52" t="s">
        <v>129</v>
      </c>
      <c r="G94" s="52" t="s">
        <v>130</v>
      </c>
      <c r="H94" s="20" t="s">
        <v>131</v>
      </c>
      <c r="I94" s="20" t="s">
        <v>132</v>
      </c>
      <c r="J94" s="20" t="s">
        <v>133</v>
      </c>
      <c r="K94" s="20" t="s">
        <v>134</v>
      </c>
      <c r="L94" s="20" t="s">
        <v>135</v>
      </c>
      <c r="M94" s="55" t="s">
        <v>136</v>
      </c>
      <c r="N94" s="56" t="s">
        <v>42</v>
      </c>
      <c r="O94" s="55" t="s">
        <v>43</v>
      </c>
    </row>
    <row r="95" spans="1:27" ht="30.75" customHeight="1">
      <c r="A95" s="58" t="s">
        <v>90</v>
      </c>
      <c r="B95" s="9">
        <v>46</v>
      </c>
      <c r="C95" s="9">
        <v>0.48</v>
      </c>
      <c r="D95" s="32">
        <v>0.27</v>
      </c>
      <c r="E95" s="8">
        <v>32.799999999999997</v>
      </c>
      <c r="F95" s="9">
        <v>18.5</v>
      </c>
      <c r="G95" s="9">
        <v>4.2</v>
      </c>
      <c r="H95" s="9">
        <v>4</v>
      </c>
      <c r="I95" s="9">
        <v>0</v>
      </c>
      <c r="J95" s="9">
        <v>40.6</v>
      </c>
      <c r="K95" s="9">
        <v>0</v>
      </c>
      <c r="L95" s="9">
        <v>0</v>
      </c>
      <c r="M95" s="10">
        <v>0</v>
      </c>
      <c r="N95" s="59" t="s">
        <v>49</v>
      </c>
      <c r="O95" s="10" t="s">
        <v>137</v>
      </c>
    </row>
    <row r="96" spans="1:27" ht="30">
      <c r="A96" s="60" t="s">
        <v>138</v>
      </c>
      <c r="B96" s="18">
        <v>50</v>
      </c>
      <c r="C96" s="18">
        <v>0.45</v>
      </c>
      <c r="D96" s="39">
        <v>0.3</v>
      </c>
      <c r="E96" s="38">
        <v>8.6999999999999993</v>
      </c>
      <c r="F96" s="18">
        <v>0</v>
      </c>
      <c r="G96" s="18">
        <v>13.7</v>
      </c>
      <c r="H96" s="18">
        <v>0</v>
      </c>
      <c r="I96" s="18">
        <v>2.8</v>
      </c>
      <c r="J96" s="18">
        <v>69.8</v>
      </c>
      <c r="K96" s="18">
        <v>2</v>
      </c>
      <c r="L96" s="18">
        <v>0</v>
      </c>
      <c r="M96" s="23">
        <v>3</v>
      </c>
      <c r="N96" s="61" t="s">
        <v>49</v>
      </c>
      <c r="O96" s="23" t="s">
        <v>137</v>
      </c>
    </row>
    <row r="97" spans="1:15" ht="30">
      <c r="A97" s="60" t="s">
        <v>139</v>
      </c>
      <c r="B97" s="18">
        <v>50</v>
      </c>
      <c r="C97" s="18">
        <v>0.45</v>
      </c>
      <c r="D97" s="39">
        <v>0.3</v>
      </c>
      <c r="E97" s="38">
        <v>3</v>
      </c>
      <c r="F97" s="18">
        <v>0</v>
      </c>
      <c r="G97" s="18">
        <v>42</v>
      </c>
      <c r="H97" s="18">
        <v>0</v>
      </c>
      <c r="I97" s="18">
        <v>24.7</v>
      </c>
      <c r="J97" s="18">
        <v>24.7</v>
      </c>
      <c r="K97" s="18">
        <v>0</v>
      </c>
      <c r="L97" s="18">
        <v>0</v>
      </c>
      <c r="M97" s="23">
        <v>5.7</v>
      </c>
      <c r="N97" s="61" t="s">
        <v>49</v>
      </c>
      <c r="O97" s="23" t="s">
        <v>137</v>
      </c>
    </row>
    <row r="98" spans="1:15">
      <c r="A98" s="60" t="s">
        <v>55</v>
      </c>
      <c r="B98" s="18">
        <v>45</v>
      </c>
      <c r="C98" s="18">
        <v>0.45</v>
      </c>
      <c r="D98" s="39">
        <v>0.28000000000000003</v>
      </c>
      <c r="E98" s="38">
        <v>54</v>
      </c>
      <c r="F98" s="18">
        <v>0</v>
      </c>
      <c r="G98" s="18">
        <v>3</v>
      </c>
      <c r="H98" s="18">
        <v>15</v>
      </c>
      <c r="I98" s="18">
        <v>0</v>
      </c>
      <c r="J98" s="18">
        <v>0</v>
      </c>
      <c r="K98" s="18">
        <v>0</v>
      </c>
      <c r="L98" s="18">
        <v>0</v>
      </c>
      <c r="M98" s="23">
        <v>28</v>
      </c>
      <c r="N98" s="61" t="s">
        <v>49</v>
      </c>
      <c r="O98" s="23" t="s">
        <v>137</v>
      </c>
    </row>
    <row r="99" spans="1:15" ht="30">
      <c r="A99" s="60" t="s">
        <v>91</v>
      </c>
      <c r="B99" s="18">
        <v>28</v>
      </c>
      <c r="C99" s="18">
        <v>0.28999999999999998</v>
      </c>
      <c r="D99" s="39">
        <v>0.3</v>
      </c>
      <c r="E99" s="38">
        <v>0</v>
      </c>
      <c r="F99" s="18">
        <v>8</v>
      </c>
      <c r="G99" s="18">
        <v>10</v>
      </c>
      <c r="H99" s="18">
        <v>41</v>
      </c>
      <c r="I99" s="18">
        <v>0</v>
      </c>
      <c r="J99" s="18">
        <v>0</v>
      </c>
      <c r="K99" s="18">
        <v>2</v>
      </c>
      <c r="L99" s="18">
        <v>0</v>
      </c>
      <c r="M99" s="23">
        <v>40</v>
      </c>
      <c r="N99" s="61" t="s">
        <v>49</v>
      </c>
      <c r="O99" s="23" t="s">
        <v>137</v>
      </c>
    </row>
    <row r="100" spans="1:15">
      <c r="A100" s="60" t="s">
        <v>140</v>
      </c>
      <c r="B100" s="18">
        <v>28</v>
      </c>
      <c r="C100" s="18">
        <v>0.28999999999999998</v>
      </c>
      <c r="D100" s="39">
        <v>0.3</v>
      </c>
      <c r="E100" s="38">
        <v>0</v>
      </c>
      <c r="F100" s="18">
        <v>6</v>
      </c>
      <c r="G100" s="18">
        <v>6</v>
      </c>
      <c r="H100" s="18">
        <v>87</v>
      </c>
      <c r="I100" s="18">
        <v>1</v>
      </c>
      <c r="J100" s="18">
        <v>0</v>
      </c>
      <c r="K100" s="18">
        <v>0</v>
      </c>
      <c r="L100" s="18">
        <v>0</v>
      </c>
      <c r="M100" s="23">
        <v>0</v>
      </c>
      <c r="N100" s="61" t="s">
        <v>49</v>
      </c>
      <c r="O100" s="23" t="s">
        <v>137</v>
      </c>
    </row>
    <row r="101" spans="1:15">
      <c r="A101" s="60" t="s">
        <v>141</v>
      </c>
      <c r="B101" s="18">
        <v>28</v>
      </c>
      <c r="C101" s="18">
        <v>0.28999999999999998</v>
      </c>
      <c r="D101" s="39">
        <v>0.3</v>
      </c>
      <c r="E101" s="38">
        <v>0</v>
      </c>
      <c r="F101" s="18">
        <v>14</v>
      </c>
      <c r="G101" s="18">
        <v>0</v>
      </c>
      <c r="H101" s="18">
        <v>69</v>
      </c>
      <c r="I101" s="18">
        <v>0</v>
      </c>
      <c r="J101" s="18">
        <v>17</v>
      </c>
      <c r="K101" s="18">
        <v>0</v>
      </c>
      <c r="L101" s="18">
        <v>0</v>
      </c>
      <c r="M101" s="23">
        <v>0</v>
      </c>
      <c r="N101" s="61" t="s">
        <v>49</v>
      </c>
      <c r="O101" s="23" t="s">
        <v>137</v>
      </c>
    </row>
    <row r="102" spans="1:15">
      <c r="A102" s="60" t="s">
        <v>56</v>
      </c>
      <c r="B102" s="18">
        <v>28</v>
      </c>
      <c r="C102" s="18">
        <v>0.28999999999999998</v>
      </c>
      <c r="D102" s="39">
        <v>0.3</v>
      </c>
      <c r="E102" s="38">
        <v>0</v>
      </c>
      <c r="F102" s="18">
        <v>40</v>
      </c>
      <c r="G102" s="18">
        <v>0</v>
      </c>
      <c r="H102" s="18">
        <v>54</v>
      </c>
      <c r="I102" s="18">
        <v>0</v>
      </c>
      <c r="J102" s="18">
        <v>0</v>
      </c>
      <c r="K102" s="18">
        <v>0</v>
      </c>
      <c r="L102" s="18">
        <v>7</v>
      </c>
      <c r="M102" s="23">
        <v>0</v>
      </c>
      <c r="N102" s="61" t="s">
        <v>49</v>
      </c>
      <c r="O102" s="23" t="s">
        <v>137</v>
      </c>
    </row>
    <row r="103" spans="1:15" ht="45.75" thickBot="1">
      <c r="A103" s="62" t="s">
        <v>142</v>
      </c>
      <c r="B103" s="12">
        <v>28</v>
      </c>
      <c r="C103" s="12">
        <v>0.28999999999999998</v>
      </c>
      <c r="D103" s="44">
        <v>0.3</v>
      </c>
      <c r="E103" s="11">
        <v>9</v>
      </c>
      <c r="F103" s="12">
        <v>22</v>
      </c>
      <c r="G103" s="12">
        <v>16</v>
      </c>
      <c r="H103" s="12">
        <v>30</v>
      </c>
      <c r="I103" s="12">
        <v>3</v>
      </c>
      <c r="J103" s="12">
        <v>0</v>
      </c>
      <c r="K103" s="12">
        <v>9</v>
      </c>
      <c r="L103" s="12">
        <v>8</v>
      </c>
      <c r="M103" s="13">
        <v>3</v>
      </c>
      <c r="N103" s="63" t="s">
        <v>49</v>
      </c>
      <c r="O103" s="13" t="s">
        <v>137</v>
      </c>
    </row>
    <row r="104" spans="1:15" ht="15.75" thickBot="1"/>
    <row r="105" spans="1:15" ht="15.75" thickBot="1">
      <c r="A105" s="315" t="s">
        <v>185</v>
      </c>
      <c r="B105" s="316"/>
      <c r="C105" s="316"/>
      <c r="D105" s="316"/>
      <c r="E105" s="316"/>
      <c r="F105" s="317"/>
    </row>
    <row r="106" spans="1:15" ht="15.75" thickBot="1">
      <c r="A106" s="5" t="s">
        <v>84</v>
      </c>
      <c r="B106" s="6" t="s">
        <v>37</v>
      </c>
      <c r="C106" s="6" t="s">
        <v>38</v>
      </c>
      <c r="D106" s="6" t="s">
        <v>39</v>
      </c>
      <c r="E106" s="6" t="s">
        <v>186</v>
      </c>
      <c r="F106" s="7" t="s">
        <v>43</v>
      </c>
    </row>
    <row r="107" spans="1:15">
      <c r="A107" s="21" t="s">
        <v>44</v>
      </c>
      <c r="B107" s="30" t="s">
        <v>63</v>
      </c>
      <c r="C107" s="9"/>
      <c r="D107" s="9"/>
      <c r="E107" s="9"/>
      <c r="F107" s="10"/>
    </row>
    <row r="108" spans="1:15" ht="30">
      <c r="A108" s="22" t="s">
        <v>50</v>
      </c>
      <c r="B108" s="36" t="s">
        <v>93</v>
      </c>
      <c r="C108" s="18">
        <v>0.44</v>
      </c>
      <c r="D108" s="18" t="s">
        <v>187</v>
      </c>
      <c r="E108" s="18" t="s">
        <v>49</v>
      </c>
      <c r="F108" s="23" t="s">
        <v>188</v>
      </c>
    </row>
    <row r="109" spans="1:15" ht="30">
      <c r="A109" s="22" t="s">
        <v>50</v>
      </c>
      <c r="B109" s="36" t="s">
        <v>95</v>
      </c>
      <c r="C109" s="18">
        <v>0.48</v>
      </c>
      <c r="D109" s="18" t="s">
        <v>187</v>
      </c>
      <c r="E109" s="18" t="s">
        <v>49</v>
      </c>
      <c r="F109" s="23" t="s">
        <v>188</v>
      </c>
    </row>
    <row r="110" spans="1:15" ht="30">
      <c r="A110" s="22" t="s">
        <v>65</v>
      </c>
      <c r="B110" s="36" t="s">
        <v>189</v>
      </c>
      <c r="C110" s="18">
        <v>0.35</v>
      </c>
      <c r="D110" s="18" t="s">
        <v>187</v>
      </c>
      <c r="E110" s="18" t="s">
        <v>49</v>
      </c>
      <c r="F110" s="23" t="s">
        <v>188</v>
      </c>
    </row>
    <row r="111" spans="1:15" ht="30">
      <c r="A111" s="22" t="s">
        <v>65</v>
      </c>
      <c r="B111" s="36" t="s">
        <v>97</v>
      </c>
      <c r="C111" s="18">
        <v>0.36</v>
      </c>
      <c r="D111" s="18" t="s">
        <v>187</v>
      </c>
      <c r="E111" s="18" t="s">
        <v>49</v>
      </c>
      <c r="F111" s="23" t="s">
        <v>188</v>
      </c>
    </row>
    <row r="112" spans="1:15">
      <c r="A112" s="22" t="s">
        <v>67</v>
      </c>
      <c r="B112" s="36" t="s">
        <v>190</v>
      </c>
      <c r="C112" s="18">
        <v>1.17</v>
      </c>
      <c r="D112" s="18" t="s">
        <v>187</v>
      </c>
      <c r="E112" s="18" t="s">
        <v>49</v>
      </c>
      <c r="F112" s="23" t="s">
        <v>188</v>
      </c>
    </row>
    <row r="113" spans="1:6">
      <c r="A113" s="22" t="s">
        <v>71</v>
      </c>
      <c r="B113" s="36" t="s">
        <v>191</v>
      </c>
      <c r="C113" s="18">
        <v>1.37</v>
      </c>
      <c r="D113" s="18" t="s">
        <v>187</v>
      </c>
      <c r="E113" s="18" t="s">
        <v>49</v>
      </c>
      <c r="F113" s="23" t="s">
        <v>188</v>
      </c>
    </row>
    <row r="114" spans="1:6">
      <c r="A114" s="22" t="s">
        <v>73</v>
      </c>
      <c r="B114" s="36" t="s">
        <v>74</v>
      </c>
      <c r="C114" s="18">
        <v>0.46</v>
      </c>
      <c r="D114" s="18" t="s">
        <v>187</v>
      </c>
      <c r="E114" s="18" t="s">
        <v>49</v>
      </c>
      <c r="F114" s="23" t="s">
        <v>188</v>
      </c>
    </row>
    <row r="115" spans="1:6">
      <c r="A115" s="22" t="s">
        <v>75</v>
      </c>
      <c r="B115" s="36" t="s">
        <v>192</v>
      </c>
      <c r="C115" s="18">
        <v>0.46</v>
      </c>
      <c r="D115" s="18" t="s">
        <v>187</v>
      </c>
      <c r="E115" s="18" t="s">
        <v>49</v>
      </c>
      <c r="F115" s="23" t="s">
        <v>188</v>
      </c>
    </row>
    <row r="116" spans="1:6" ht="30">
      <c r="A116" s="22" t="s">
        <v>77</v>
      </c>
      <c r="B116" s="36" t="s">
        <v>108</v>
      </c>
      <c r="C116" s="18">
        <v>0.42</v>
      </c>
      <c r="D116" s="18" t="s">
        <v>187</v>
      </c>
      <c r="E116" s="18" t="s">
        <v>49</v>
      </c>
      <c r="F116" s="23" t="s">
        <v>188</v>
      </c>
    </row>
    <row r="117" spans="1:6" ht="30">
      <c r="A117" s="22" t="s">
        <v>77</v>
      </c>
      <c r="B117" s="36" t="s">
        <v>109</v>
      </c>
      <c r="C117" s="18">
        <v>0.24</v>
      </c>
      <c r="D117" s="18" t="s">
        <v>187</v>
      </c>
      <c r="E117" s="18" t="s">
        <v>49</v>
      </c>
      <c r="F117" s="23" t="s">
        <v>188</v>
      </c>
    </row>
    <row r="118" spans="1:6" ht="30">
      <c r="A118" s="22" t="s">
        <v>77</v>
      </c>
      <c r="B118" s="36" t="s">
        <v>193</v>
      </c>
      <c r="C118" s="18">
        <v>1.57</v>
      </c>
      <c r="D118" s="18" t="s">
        <v>187</v>
      </c>
      <c r="E118" s="18" t="s">
        <v>49</v>
      </c>
      <c r="F118" s="23" t="s">
        <v>188</v>
      </c>
    </row>
    <row r="119" spans="1:6" ht="30">
      <c r="A119" s="22" t="s">
        <v>77</v>
      </c>
      <c r="B119" s="36" t="s">
        <v>194</v>
      </c>
      <c r="C119" s="18">
        <v>0.55000000000000004</v>
      </c>
      <c r="D119" s="18" t="s">
        <v>187</v>
      </c>
      <c r="E119" s="18" t="s">
        <v>49</v>
      </c>
      <c r="F119" s="23" t="s">
        <v>188</v>
      </c>
    </row>
    <row r="120" spans="1:6">
      <c r="A120" s="22" t="s">
        <v>111</v>
      </c>
      <c r="B120" s="36" t="s">
        <v>195</v>
      </c>
      <c r="C120" s="18">
        <v>0.83</v>
      </c>
      <c r="D120" s="18" t="s">
        <v>187</v>
      </c>
      <c r="E120" s="18" t="s">
        <v>49</v>
      </c>
      <c r="F120" s="23" t="s">
        <v>188</v>
      </c>
    </row>
    <row r="121" spans="1:6">
      <c r="A121" s="22" t="s">
        <v>111</v>
      </c>
      <c r="B121" s="36" t="s">
        <v>196</v>
      </c>
      <c r="C121" s="18">
        <v>0.62</v>
      </c>
      <c r="D121" s="18" t="s">
        <v>187</v>
      </c>
      <c r="E121" s="18" t="s">
        <v>49</v>
      </c>
      <c r="F121" s="23" t="s">
        <v>188</v>
      </c>
    </row>
    <row r="122" spans="1:6">
      <c r="A122" s="22" t="s">
        <v>111</v>
      </c>
      <c r="B122" s="36" t="s">
        <v>115</v>
      </c>
      <c r="C122" s="18">
        <v>1.1000000000000001</v>
      </c>
      <c r="D122" s="18" t="s">
        <v>187</v>
      </c>
      <c r="E122" s="18" t="s">
        <v>49</v>
      </c>
      <c r="F122" s="23" t="s">
        <v>188</v>
      </c>
    </row>
    <row r="123" spans="1:6">
      <c r="A123" s="22" t="s">
        <v>111</v>
      </c>
      <c r="B123" s="36" t="s">
        <v>116</v>
      </c>
      <c r="C123" s="18">
        <v>0.83</v>
      </c>
      <c r="D123" s="18" t="s">
        <v>187</v>
      </c>
      <c r="E123" s="18" t="s">
        <v>49</v>
      </c>
      <c r="F123" s="23" t="s">
        <v>188</v>
      </c>
    </row>
    <row r="124" spans="1:6">
      <c r="A124" s="22" t="s">
        <v>111</v>
      </c>
      <c r="B124" s="36" t="s">
        <v>197</v>
      </c>
      <c r="C124" s="18">
        <v>0.83</v>
      </c>
      <c r="D124" s="18" t="s">
        <v>187</v>
      </c>
      <c r="E124" s="18" t="s">
        <v>49</v>
      </c>
      <c r="F124" s="23" t="s">
        <v>188</v>
      </c>
    </row>
    <row r="125" spans="1:6">
      <c r="A125" s="22" t="s">
        <v>118</v>
      </c>
      <c r="B125" s="36" t="s">
        <v>119</v>
      </c>
      <c r="C125" s="18"/>
      <c r="D125" s="18"/>
      <c r="E125" s="18"/>
      <c r="F125" s="23"/>
    </row>
    <row r="126" spans="1:6" ht="15.75" thickBot="1">
      <c r="A126" s="24" t="s">
        <v>118</v>
      </c>
      <c r="B126" s="48" t="s">
        <v>121</v>
      </c>
      <c r="C126" s="12">
        <v>8.1</v>
      </c>
      <c r="D126" s="12" t="s">
        <v>187</v>
      </c>
      <c r="E126" s="12" t="s">
        <v>49</v>
      </c>
      <c r="F126" s="13" t="s">
        <v>188</v>
      </c>
    </row>
    <row r="128" spans="1:6" ht="15.75" thickBot="1"/>
    <row r="129" spans="1:5" ht="60" customHeight="1" thickBot="1">
      <c r="A129" s="324" t="s">
        <v>198</v>
      </c>
      <c r="B129" s="325"/>
      <c r="C129" s="325"/>
      <c r="D129" s="325"/>
      <c r="E129" s="326"/>
    </row>
    <row r="130" spans="1:5" ht="15.75" thickBot="1">
      <c r="A130" s="80" t="s">
        <v>199</v>
      </c>
      <c r="B130" s="81" t="s">
        <v>38</v>
      </c>
      <c r="C130" s="81" t="s">
        <v>39</v>
      </c>
      <c r="D130" s="81" t="s">
        <v>42</v>
      </c>
      <c r="E130" s="79" t="s">
        <v>43</v>
      </c>
    </row>
    <row r="131" spans="1:5" ht="45">
      <c r="A131" s="58" t="s">
        <v>200</v>
      </c>
      <c r="B131" s="9">
        <v>0.02</v>
      </c>
      <c r="C131" s="9" t="s">
        <v>201</v>
      </c>
      <c r="D131" s="9" t="s">
        <v>49</v>
      </c>
      <c r="E131" s="10" t="s">
        <v>202</v>
      </c>
    </row>
    <row r="132" spans="1:5" ht="45">
      <c r="A132" s="58" t="s">
        <v>203</v>
      </c>
      <c r="B132" s="9">
        <v>0.02</v>
      </c>
      <c r="C132" s="9" t="s">
        <v>201</v>
      </c>
      <c r="D132" s="9" t="s">
        <v>49</v>
      </c>
      <c r="E132" s="10" t="s">
        <v>202</v>
      </c>
    </row>
    <row r="133" spans="1:5" ht="30">
      <c r="A133" s="60" t="s">
        <v>204</v>
      </c>
      <c r="B133" s="18">
        <v>0</v>
      </c>
      <c r="C133" s="18" t="s">
        <v>201</v>
      </c>
      <c r="D133" s="18" t="s">
        <v>49</v>
      </c>
      <c r="E133" s="23" t="s">
        <v>205</v>
      </c>
    </row>
    <row r="134" spans="1:5">
      <c r="A134" s="60" t="s">
        <v>206</v>
      </c>
      <c r="B134" s="18">
        <v>5.0000000000000001E-3</v>
      </c>
      <c r="C134" s="18" t="s">
        <v>201</v>
      </c>
      <c r="D134" s="18" t="s">
        <v>49</v>
      </c>
      <c r="E134" s="23" t="s">
        <v>205</v>
      </c>
    </row>
    <row r="135" spans="1:5">
      <c r="A135" s="60" t="s">
        <v>207</v>
      </c>
      <c r="B135" s="18">
        <v>0.02</v>
      </c>
      <c r="C135" s="18" t="s">
        <v>201</v>
      </c>
      <c r="D135" s="18" t="s">
        <v>49</v>
      </c>
      <c r="E135" s="23" t="s">
        <v>205</v>
      </c>
    </row>
    <row r="136" spans="1:5" ht="45">
      <c r="A136" s="60" t="s">
        <v>208</v>
      </c>
      <c r="B136" s="18">
        <v>5.0000000000000001E-3</v>
      </c>
      <c r="C136" s="18" t="s">
        <v>201</v>
      </c>
      <c r="D136" s="18" t="s">
        <v>49</v>
      </c>
      <c r="E136" s="23" t="s">
        <v>205</v>
      </c>
    </row>
    <row r="137" spans="1:5" ht="45">
      <c r="A137" s="60" t="s">
        <v>209</v>
      </c>
      <c r="B137" s="18">
        <v>0</v>
      </c>
      <c r="C137" s="18" t="s">
        <v>201</v>
      </c>
      <c r="D137" s="18" t="s">
        <v>49</v>
      </c>
      <c r="E137" s="23" t="s">
        <v>205</v>
      </c>
    </row>
    <row r="138" spans="1:5" ht="30">
      <c r="A138" s="60" t="s">
        <v>210</v>
      </c>
      <c r="B138" s="18">
        <v>0</v>
      </c>
      <c r="C138" s="18" t="s">
        <v>201</v>
      </c>
      <c r="D138" s="18" t="s">
        <v>49</v>
      </c>
      <c r="E138" s="23" t="s">
        <v>205</v>
      </c>
    </row>
    <row r="139" spans="1:5">
      <c r="A139" s="60" t="s">
        <v>211</v>
      </c>
      <c r="B139" s="18">
        <v>2E-3</v>
      </c>
      <c r="C139" s="18" t="s">
        <v>201</v>
      </c>
      <c r="D139" s="18" t="s">
        <v>49</v>
      </c>
      <c r="E139" s="23" t="s">
        <v>205</v>
      </c>
    </row>
    <row r="140" spans="1:5" ht="30">
      <c r="A140" s="60" t="s">
        <v>212</v>
      </c>
      <c r="B140" s="18">
        <v>0</v>
      </c>
      <c r="C140" s="18" t="s">
        <v>201</v>
      </c>
      <c r="D140" s="18" t="s">
        <v>49</v>
      </c>
      <c r="E140" s="23" t="s">
        <v>205</v>
      </c>
    </row>
    <row r="141" spans="1:5" ht="75">
      <c r="A141" s="60" t="s">
        <v>213</v>
      </c>
      <c r="B141" s="18">
        <v>7.0000000000000007E-2</v>
      </c>
      <c r="C141" s="18" t="s">
        <v>201</v>
      </c>
      <c r="D141" s="18" t="s">
        <v>49</v>
      </c>
      <c r="E141" s="23" t="s">
        <v>205</v>
      </c>
    </row>
    <row r="142" spans="1:5" ht="75">
      <c r="A142" s="60" t="s">
        <v>214</v>
      </c>
      <c r="B142" s="18">
        <v>0.01</v>
      </c>
      <c r="C142" s="18" t="s">
        <v>201</v>
      </c>
      <c r="D142" s="18" t="s">
        <v>49</v>
      </c>
      <c r="E142" s="23" t="s">
        <v>205</v>
      </c>
    </row>
    <row r="143" spans="1:5" ht="45">
      <c r="A143" s="60" t="s">
        <v>215</v>
      </c>
      <c r="B143" s="18">
        <v>6.0000000000000001E-3</v>
      </c>
      <c r="C143" s="18" t="s">
        <v>201</v>
      </c>
      <c r="D143" s="18" t="s">
        <v>49</v>
      </c>
      <c r="E143" s="23" t="s">
        <v>205</v>
      </c>
    </row>
    <row r="144" spans="1:5" ht="45">
      <c r="A144" s="60" t="s">
        <v>216</v>
      </c>
      <c r="B144" s="18">
        <v>6.0000000000000001E-3</v>
      </c>
      <c r="C144" s="18" t="s">
        <v>201</v>
      </c>
      <c r="D144" s="18" t="s">
        <v>49</v>
      </c>
      <c r="E144" s="23" t="s">
        <v>205</v>
      </c>
    </row>
    <row r="145" spans="1:12" ht="60">
      <c r="A145" s="60" t="s">
        <v>217</v>
      </c>
      <c r="B145" s="18">
        <v>0.1</v>
      </c>
      <c r="C145" s="18" t="s">
        <v>201</v>
      </c>
      <c r="D145" s="18" t="s">
        <v>49</v>
      </c>
      <c r="E145" s="23" t="s">
        <v>205</v>
      </c>
    </row>
    <row r="146" spans="1:12" ht="60">
      <c r="A146" s="60" t="s">
        <v>218</v>
      </c>
      <c r="B146" s="18">
        <v>0.01</v>
      </c>
      <c r="C146" s="18" t="s">
        <v>201</v>
      </c>
      <c r="D146" s="18" t="s">
        <v>49</v>
      </c>
      <c r="E146" s="23" t="s">
        <v>205</v>
      </c>
    </row>
    <row r="147" spans="1:12" ht="60">
      <c r="A147" s="60" t="s">
        <v>219</v>
      </c>
      <c r="B147" s="18">
        <v>1E-3</v>
      </c>
      <c r="C147" s="18" t="s">
        <v>201</v>
      </c>
      <c r="D147" s="18" t="s">
        <v>49</v>
      </c>
      <c r="E147" s="23" t="s">
        <v>205</v>
      </c>
    </row>
    <row r="148" spans="1:12" ht="45">
      <c r="A148" s="60" t="s">
        <v>220</v>
      </c>
      <c r="B148" s="18">
        <v>1E-3</v>
      </c>
      <c r="C148" s="18" t="s">
        <v>201</v>
      </c>
      <c r="D148" s="18" t="s">
        <v>49</v>
      </c>
      <c r="E148" s="23" t="s">
        <v>205</v>
      </c>
    </row>
    <row r="149" spans="1:12" ht="60">
      <c r="A149" s="60" t="s">
        <v>221</v>
      </c>
      <c r="B149" s="18">
        <v>0.01</v>
      </c>
      <c r="C149" s="18" t="s">
        <v>201</v>
      </c>
      <c r="D149" s="18" t="s">
        <v>49</v>
      </c>
      <c r="E149" s="23" t="s">
        <v>205</v>
      </c>
    </row>
    <row r="150" spans="1:12" ht="60.75" thickBot="1">
      <c r="A150" s="62" t="s">
        <v>222</v>
      </c>
      <c r="B150" s="12">
        <v>5.0000000000000001E-3</v>
      </c>
      <c r="C150" s="12" t="s">
        <v>201</v>
      </c>
      <c r="D150" s="12" t="s">
        <v>49</v>
      </c>
      <c r="E150" s="13" t="s">
        <v>205</v>
      </c>
    </row>
    <row r="151" spans="1:12" ht="15.75" thickBot="1"/>
    <row r="152" spans="1:12" ht="30" customHeight="1" thickBot="1">
      <c r="A152" s="312" t="s">
        <v>223</v>
      </c>
      <c r="B152" s="313"/>
      <c r="C152" s="313"/>
      <c r="D152" s="313"/>
      <c r="E152" s="313"/>
      <c r="F152" s="313"/>
      <c r="G152" s="313"/>
      <c r="H152" s="313"/>
      <c r="I152" s="314"/>
    </row>
    <row r="153" spans="1:12" ht="30.75" thickBot="1">
      <c r="A153" s="54" t="s">
        <v>224</v>
      </c>
      <c r="B153" s="52" t="s">
        <v>37</v>
      </c>
      <c r="C153" s="20" t="s">
        <v>210</v>
      </c>
      <c r="D153" s="20" t="s">
        <v>211</v>
      </c>
      <c r="E153" s="20" t="s">
        <v>225</v>
      </c>
      <c r="F153" s="20" t="s">
        <v>226</v>
      </c>
      <c r="G153" s="20" t="s">
        <v>206</v>
      </c>
      <c r="H153" s="20" t="s">
        <v>204</v>
      </c>
      <c r="I153" s="55" t="s">
        <v>207</v>
      </c>
      <c r="J153" s="82" t="s">
        <v>39</v>
      </c>
      <c r="K153" s="64" t="s">
        <v>42</v>
      </c>
      <c r="L153" s="64" t="s">
        <v>43</v>
      </c>
    </row>
    <row r="154" spans="1:12">
      <c r="A154" s="21" t="s">
        <v>77</v>
      </c>
      <c r="B154" s="30" t="s">
        <v>2</v>
      </c>
      <c r="C154" s="9">
        <v>40</v>
      </c>
      <c r="D154" s="9">
        <v>25</v>
      </c>
      <c r="E154" s="9">
        <v>40</v>
      </c>
      <c r="F154" s="9">
        <v>48</v>
      </c>
      <c r="G154" s="9">
        <v>45</v>
      </c>
      <c r="H154" s="9"/>
      <c r="I154" s="10"/>
      <c r="J154" t="s">
        <v>227</v>
      </c>
      <c r="K154" t="s">
        <v>228</v>
      </c>
      <c r="L154" t="s">
        <v>229</v>
      </c>
    </row>
    <row r="155" spans="1:12">
      <c r="A155" s="22" t="s">
        <v>50</v>
      </c>
      <c r="B155" s="36" t="s">
        <v>230</v>
      </c>
      <c r="C155" s="18">
        <v>77</v>
      </c>
      <c r="D155" s="18">
        <v>28</v>
      </c>
      <c r="E155" s="18"/>
      <c r="F155" s="18">
        <v>40</v>
      </c>
      <c r="G155" s="18">
        <v>30</v>
      </c>
      <c r="H155" s="18">
        <v>22</v>
      </c>
      <c r="I155" s="23">
        <v>30</v>
      </c>
      <c r="J155" t="s">
        <v>227</v>
      </c>
      <c r="K155" t="s">
        <v>228</v>
      </c>
      <c r="L155" t="s">
        <v>229</v>
      </c>
    </row>
    <row r="156" spans="1:12">
      <c r="A156" s="22" t="s">
        <v>111</v>
      </c>
      <c r="B156" s="36" t="s">
        <v>115</v>
      </c>
      <c r="C156" s="18">
        <v>77</v>
      </c>
      <c r="D156" s="18"/>
      <c r="E156" s="18">
        <v>55</v>
      </c>
      <c r="F156" s="18"/>
      <c r="G156" s="18"/>
      <c r="H156" s="18"/>
      <c r="I156" s="23"/>
      <c r="J156" t="s">
        <v>227</v>
      </c>
      <c r="K156" t="s">
        <v>228</v>
      </c>
      <c r="L156" t="s">
        <v>229</v>
      </c>
    </row>
    <row r="157" spans="1:12">
      <c r="A157" s="22" t="s">
        <v>65</v>
      </c>
      <c r="B157" s="36" t="s">
        <v>66</v>
      </c>
      <c r="C157" s="18"/>
      <c r="D157" s="18"/>
      <c r="E157" s="18">
        <v>40</v>
      </c>
      <c r="F157" s="18"/>
      <c r="G157" s="18">
        <v>50</v>
      </c>
      <c r="H157" s="18"/>
      <c r="I157" s="23">
        <v>40</v>
      </c>
      <c r="J157" t="s">
        <v>227</v>
      </c>
      <c r="K157" t="s">
        <v>228</v>
      </c>
      <c r="L157" t="s">
        <v>229</v>
      </c>
    </row>
    <row r="158" spans="1:12">
      <c r="A158" s="22" t="s">
        <v>67</v>
      </c>
      <c r="B158" s="36" t="s">
        <v>190</v>
      </c>
      <c r="C158" s="18"/>
      <c r="D158" s="18"/>
      <c r="E158" s="18">
        <v>35</v>
      </c>
      <c r="F158" s="18"/>
      <c r="G158" s="18">
        <v>15</v>
      </c>
      <c r="H158" s="18"/>
      <c r="I158" s="23"/>
      <c r="J158" t="s">
        <v>227</v>
      </c>
      <c r="K158" t="s">
        <v>228</v>
      </c>
      <c r="L158" t="s">
        <v>229</v>
      </c>
    </row>
    <row r="159" spans="1:12">
      <c r="A159" s="22" t="s">
        <v>71</v>
      </c>
      <c r="B159" s="36" t="s">
        <v>191</v>
      </c>
      <c r="C159" s="18"/>
      <c r="D159" s="18"/>
      <c r="E159" s="18">
        <v>35</v>
      </c>
      <c r="F159" s="18"/>
      <c r="G159" s="18">
        <v>15</v>
      </c>
      <c r="H159" s="18"/>
      <c r="I159" s="23"/>
      <c r="J159" t="s">
        <v>227</v>
      </c>
      <c r="K159" t="s">
        <v>228</v>
      </c>
      <c r="L159" t="s">
        <v>229</v>
      </c>
    </row>
    <row r="160" spans="1:12">
      <c r="A160" s="22" t="s">
        <v>118</v>
      </c>
      <c r="B160" s="36" t="s">
        <v>119</v>
      </c>
      <c r="C160" s="18"/>
      <c r="D160" s="18"/>
      <c r="E160" s="18">
        <v>35</v>
      </c>
      <c r="F160" s="18"/>
      <c r="G160" s="18">
        <v>15</v>
      </c>
      <c r="H160" s="18"/>
      <c r="I160" s="23"/>
      <c r="J160" t="s">
        <v>227</v>
      </c>
      <c r="K160" t="s">
        <v>228</v>
      </c>
      <c r="L160" t="s">
        <v>229</v>
      </c>
    </row>
    <row r="161" spans="1:12">
      <c r="A161" s="22" t="s">
        <v>118</v>
      </c>
      <c r="B161" s="36" t="s">
        <v>121</v>
      </c>
      <c r="C161" s="18"/>
      <c r="D161" s="18"/>
      <c r="E161" s="18">
        <v>35</v>
      </c>
      <c r="F161" s="18"/>
      <c r="G161" s="18">
        <v>15</v>
      </c>
      <c r="H161" s="18"/>
      <c r="I161" s="23"/>
      <c r="J161" t="s">
        <v>227</v>
      </c>
      <c r="K161" t="s">
        <v>228</v>
      </c>
      <c r="L161" t="s">
        <v>229</v>
      </c>
    </row>
    <row r="162" spans="1:12">
      <c r="A162" s="22" t="s">
        <v>73</v>
      </c>
      <c r="B162" s="36" t="s">
        <v>74</v>
      </c>
      <c r="C162" s="18"/>
      <c r="D162" s="18"/>
      <c r="E162" s="18">
        <v>35</v>
      </c>
      <c r="F162" s="18"/>
      <c r="G162" s="18">
        <v>15</v>
      </c>
      <c r="H162" s="18"/>
      <c r="I162" s="23"/>
      <c r="J162" t="s">
        <v>227</v>
      </c>
      <c r="K162" t="s">
        <v>228</v>
      </c>
      <c r="L162" t="s">
        <v>229</v>
      </c>
    </row>
    <row r="163" spans="1:12" ht="15.75" thickBot="1">
      <c r="A163" s="24" t="s">
        <v>75</v>
      </c>
      <c r="B163" s="48" t="s">
        <v>192</v>
      </c>
      <c r="C163" s="12"/>
      <c r="D163" s="12"/>
      <c r="E163" s="12">
        <v>35</v>
      </c>
      <c r="F163" s="12"/>
      <c r="G163" s="12">
        <v>15</v>
      </c>
      <c r="H163" s="12"/>
      <c r="I163" s="13"/>
      <c r="J163" t="s">
        <v>227</v>
      </c>
      <c r="K163" t="s">
        <v>228</v>
      </c>
      <c r="L163" t="s">
        <v>229</v>
      </c>
    </row>
    <row r="164" spans="1:12" ht="15.75" thickBot="1"/>
    <row r="165" spans="1:12" ht="15.75" thickBot="1">
      <c r="A165" s="312" t="s">
        <v>231</v>
      </c>
      <c r="B165" s="313"/>
      <c r="C165" s="313"/>
      <c r="D165" s="313"/>
      <c r="E165" s="313"/>
      <c r="F165" s="313"/>
      <c r="G165" s="313"/>
      <c r="H165" s="313"/>
      <c r="I165" s="314"/>
    </row>
    <row r="166" spans="1:12" ht="30.75" thickBot="1">
      <c r="A166" s="54" t="s">
        <v>224</v>
      </c>
      <c r="B166" s="52" t="s">
        <v>37</v>
      </c>
      <c r="C166" s="20" t="s">
        <v>210</v>
      </c>
      <c r="D166" s="20" t="s">
        <v>211</v>
      </c>
      <c r="E166" s="20" t="s">
        <v>225</v>
      </c>
      <c r="F166" s="20" t="s">
        <v>226</v>
      </c>
      <c r="G166" s="20" t="s">
        <v>206</v>
      </c>
      <c r="H166" s="20" t="s">
        <v>204</v>
      </c>
      <c r="I166" s="55" t="s">
        <v>207</v>
      </c>
      <c r="J166" s="82" t="s">
        <v>39</v>
      </c>
      <c r="K166" s="64" t="s">
        <v>42</v>
      </c>
      <c r="L166" s="64" t="s">
        <v>43</v>
      </c>
    </row>
    <row r="167" spans="1:12">
      <c r="A167" s="21" t="s">
        <v>77</v>
      </c>
      <c r="B167" s="30" t="s">
        <v>2</v>
      </c>
      <c r="C167" s="9">
        <v>40</v>
      </c>
      <c r="D167" s="9">
        <v>25</v>
      </c>
      <c r="E167" s="9">
        <v>40</v>
      </c>
      <c r="F167" s="9">
        <v>48</v>
      </c>
      <c r="G167" s="9">
        <v>45</v>
      </c>
      <c r="H167" s="9"/>
      <c r="I167" s="10"/>
      <c r="J167" t="s">
        <v>227</v>
      </c>
      <c r="K167" t="s">
        <v>228</v>
      </c>
      <c r="L167" t="s">
        <v>232</v>
      </c>
    </row>
    <row r="168" spans="1:12">
      <c r="A168" s="22" t="s">
        <v>50</v>
      </c>
      <c r="B168" s="36" t="s">
        <v>230</v>
      </c>
      <c r="C168" s="18">
        <v>35</v>
      </c>
      <c r="D168" s="18">
        <v>40</v>
      </c>
      <c r="E168" s="18">
        <v>28</v>
      </c>
      <c r="F168" s="18">
        <v>20</v>
      </c>
      <c r="G168" s="18">
        <v>30</v>
      </c>
      <c r="H168" s="18">
        <v>7</v>
      </c>
      <c r="I168" s="23"/>
      <c r="J168" t="s">
        <v>227</v>
      </c>
      <c r="K168" t="s">
        <v>228</v>
      </c>
      <c r="L168" t="s">
        <v>232</v>
      </c>
    </row>
    <row r="169" spans="1:12">
      <c r="A169" s="22" t="s">
        <v>111</v>
      </c>
      <c r="B169" s="36" t="s">
        <v>115</v>
      </c>
      <c r="C169" s="18">
        <v>40</v>
      </c>
      <c r="D169" s="18"/>
      <c r="E169" s="18">
        <v>55</v>
      </c>
      <c r="F169" s="18"/>
      <c r="G169" s="18"/>
      <c r="H169" s="18"/>
      <c r="I169" s="23"/>
      <c r="J169" t="s">
        <v>227</v>
      </c>
      <c r="K169" t="s">
        <v>228</v>
      </c>
      <c r="L169" t="s">
        <v>232</v>
      </c>
    </row>
    <row r="170" spans="1:12">
      <c r="A170" s="22" t="s">
        <v>65</v>
      </c>
      <c r="B170" s="36" t="s">
        <v>66</v>
      </c>
      <c r="C170" s="18"/>
      <c r="D170" s="18"/>
      <c r="E170" s="18">
        <v>30</v>
      </c>
      <c r="F170" s="18"/>
      <c r="G170" s="18">
        <v>45</v>
      </c>
      <c r="H170" s="18"/>
      <c r="I170" s="23">
        <v>30</v>
      </c>
      <c r="J170" t="s">
        <v>227</v>
      </c>
      <c r="K170" t="s">
        <v>228</v>
      </c>
      <c r="L170" t="s">
        <v>232</v>
      </c>
    </row>
    <row r="171" spans="1:12">
      <c r="A171" s="22" t="s">
        <v>67</v>
      </c>
      <c r="B171" s="36" t="s">
        <v>190</v>
      </c>
      <c r="C171" s="18"/>
      <c r="D171" s="18"/>
      <c r="E171" s="18">
        <v>25</v>
      </c>
      <c r="F171" s="18"/>
      <c r="G171" s="18">
        <v>12</v>
      </c>
      <c r="H171" s="18"/>
      <c r="I171" s="23"/>
      <c r="J171" t="s">
        <v>227</v>
      </c>
      <c r="K171" t="s">
        <v>228</v>
      </c>
      <c r="L171" t="s">
        <v>232</v>
      </c>
    </row>
    <row r="172" spans="1:12">
      <c r="A172" s="22" t="s">
        <v>71</v>
      </c>
      <c r="B172" s="36" t="s">
        <v>191</v>
      </c>
      <c r="C172" s="18"/>
      <c r="D172" s="18"/>
      <c r="E172" s="18">
        <v>25</v>
      </c>
      <c r="F172" s="18"/>
      <c r="G172" s="18">
        <v>12</v>
      </c>
      <c r="H172" s="18"/>
      <c r="I172" s="23"/>
      <c r="J172" t="s">
        <v>227</v>
      </c>
      <c r="K172" t="s">
        <v>228</v>
      </c>
      <c r="L172" t="s">
        <v>232</v>
      </c>
    </row>
    <row r="173" spans="1:12">
      <c r="A173" s="22" t="s">
        <v>118</v>
      </c>
      <c r="B173" s="36" t="s">
        <v>119</v>
      </c>
      <c r="C173" s="18"/>
      <c r="D173" s="18"/>
      <c r="E173" s="18">
        <v>25</v>
      </c>
      <c r="F173" s="18"/>
      <c r="G173" s="18">
        <v>12</v>
      </c>
      <c r="H173" s="18"/>
      <c r="I173" s="23"/>
      <c r="J173" t="s">
        <v>227</v>
      </c>
      <c r="K173" t="s">
        <v>228</v>
      </c>
      <c r="L173" t="s">
        <v>232</v>
      </c>
    </row>
    <row r="174" spans="1:12">
      <c r="A174" s="22" t="s">
        <v>118</v>
      </c>
      <c r="B174" s="36" t="s">
        <v>121</v>
      </c>
      <c r="C174" s="18"/>
      <c r="D174" s="18"/>
      <c r="E174" s="18">
        <v>25</v>
      </c>
      <c r="F174" s="18"/>
      <c r="G174" s="18">
        <v>12</v>
      </c>
      <c r="H174" s="18"/>
      <c r="I174" s="23"/>
      <c r="J174" t="s">
        <v>227</v>
      </c>
      <c r="K174" t="s">
        <v>228</v>
      </c>
      <c r="L174" t="s">
        <v>232</v>
      </c>
    </row>
    <row r="175" spans="1:12">
      <c r="A175" s="22" t="s">
        <v>73</v>
      </c>
      <c r="B175" s="36" t="s">
        <v>74</v>
      </c>
      <c r="C175" s="18"/>
      <c r="D175" s="18"/>
      <c r="E175" s="18">
        <v>25</v>
      </c>
      <c r="F175" s="18"/>
      <c r="G175" s="18">
        <v>12</v>
      </c>
      <c r="H175" s="18"/>
      <c r="I175" s="23"/>
      <c r="J175" t="s">
        <v>227</v>
      </c>
      <c r="K175" t="s">
        <v>228</v>
      </c>
      <c r="L175" t="s">
        <v>232</v>
      </c>
    </row>
    <row r="176" spans="1:12" ht="15.75" thickBot="1">
      <c r="A176" s="24" t="s">
        <v>75</v>
      </c>
      <c r="B176" s="48" t="s">
        <v>192</v>
      </c>
      <c r="C176" s="12"/>
      <c r="D176" s="12"/>
      <c r="E176" s="12">
        <v>25</v>
      </c>
      <c r="F176" s="12"/>
      <c r="G176" s="12">
        <v>12</v>
      </c>
      <c r="H176" s="12"/>
      <c r="I176" s="13"/>
      <c r="J176" t="s">
        <v>227</v>
      </c>
      <c r="K176" t="s">
        <v>228</v>
      </c>
      <c r="L176" t="s">
        <v>232</v>
      </c>
    </row>
    <row r="177" spans="1:6" ht="15.75" thickBot="1"/>
    <row r="178" spans="1:6" ht="30" customHeight="1" thickBot="1">
      <c r="A178" s="312" t="s">
        <v>233</v>
      </c>
      <c r="B178" s="313"/>
      <c r="C178" s="313"/>
      <c r="D178" s="313"/>
      <c r="E178" s="313"/>
      <c r="F178" s="314"/>
    </row>
    <row r="179" spans="1:6">
      <c r="A179" s="8"/>
      <c r="B179" s="83" t="s">
        <v>37</v>
      </c>
      <c r="C179" s="9" t="s">
        <v>38</v>
      </c>
      <c r="D179" s="9" t="s">
        <v>39</v>
      </c>
      <c r="E179" s="9" t="s">
        <v>42</v>
      </c>
      <c r="F179" s="10" t="s">
        <v>43</v>
      </c>
    </row>
    <row r="180" spans="1:6" ht="15.75" thickBot="1">
      <c r="A180" s="84" t="s">
        <v>234</v>
      </c>
      <c r="B180" s="48" t="s">
        <v>235</v>
      </c>
      <c r="C180" s="12">
        <v>0.2</v>
      </c>
      <c r="D180" s="12" t="s">
        <v>236</v>
      </c>
      <c r="E180" s="12" t="s">
        <v>228</v>
      </c>
      <c r="F180" s="13">
        <v>11.3</v>
      </c>
    </row>
    <row r="181" spans="1:6" ht="15.75" thickBot="1"/>
    <row r="182" spans="1:6" ht="15.75" thickBot="1">
      <c r="A182" s="315" t="s">
        <v>237</v>
      </c>
      <c r="B182" s="316"/>
      <c r="C182" s="316"/>
      <c r="D182" s="316"/>
      <c r="E182" s="316"/>
      <c r="F182" s="317"/>
    </row>
    <row r="183" spans="1:6">
      <c r="A183" s="85"/>
      <c r="B183" s="83" t="s">
        <v>37</v>
      </c>
      <c r="C183" s="9" t="s">
        <v>38</v>
      </c>
      <c r="D183" s="9" t="s">
        <v>39</v>
      </c>
      <c r="E183" s="9" t="s">
        <v>42</v>
      </c>
      <c r="F183" s="10" t="s">
        <v>43</v>
      </c>
    </row>
    <row r="184" spans="1:6" ht="15.75" thickBot="1">
      <c r="A184" s="84" t="s">
        <v>234</v>
      </c>
      <c r="B184" s="48" t="s">
        <v>235</v>
      </c>
      <c r="C184" s="12">
        <v>0.01</v>
      </c>
      <c r="D184" s="12" t="s">
        <v>238</v>
      </c>
      <c r="E184" s="12" t="s">
        <v>228</v>
      </c>
      <c r="F184" s="13">
        <v>11.3</v>
      </c>
    </row>
  </sheetData>
  <mergeCells count="28">
    <mergeCell ref="P71:Z71"/>
    <mergeCell ref="A28:H28"/>
    <mergeCell ref="K28:M28"/>
    <mergeCell ref="N28:O28"/>
    <mergeCell ref="J30:J34"/>
    <mergeCell ref="J35:J45"/>
    <mergeCell ref="J46:J48"/>
    <mergeCell ref="B58:D58"/>
    <mergeCell ref="E58:M58"/>
    <mergeCell ref="N58:O58"/>
    <mergeCell ref="A71:K71"/>
    <mergeCell ref="L71:M71"/>
    <mergeCell ref="S29:U29"/>
    <mergeCell ref="P73:P77"/>
    <mergeCell ref="A78:A88"/>
    <mergeCell ref="P78:P88"/>
    <mergeCell ref="A89:A91"/>
    <mergeCell ref="P89:P91"/>
    <mergeCell ref="N93:O93"/>
    <mergeCell ref="A105:F105"/>
    <mergeCell ref="A129:E129"/>
    <mergeCell ref="A152:I152"/>
    <mergeCell ref="A73:A77"/>
    <mergeCell ref="A165:I165"/>
    <mergeCell ref="A178:F178"/>
    <mergeCell ref="A182:F182"/>
    <mergeCell ref="B93:D93"/>
    <mergeCell ref="E93:M9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7E44-E249-4797-B0EA-15820CC95DAB}">
  <dimension ref="A1:DH77"/>
  <sheetViews>
    <sheetView zoomScale="80" zoomScaleNormal="80" workbookViewId="0">
      <selection activeCell="DD3" sqref="DD3"/>
    </sheetView>
  </sheetViews>
  <sheetFormatPr defaultColWidth="11.5703125" defaultRowHeight="15"/>
  <cols>
    <col min="2" max="2" width="14.42578125" bestFit="1" customWidth="1"/>
    <col min="3" max="3" width="14.28515625" customWidth="1"/>
    <col min="4" max="6" width="11" bestFit="1" customWidth="1"/>
    <col min="7" max="7" width="14.7109375" customWidth="1"/>
    <col min="8" max="8" width="12.7109375" customWidth="1"/>
    <col min="9" max="11" width="11" bestFit="1" customWidth="1"/>
    <col min="12" max="12" width="11.7109375" bestFit="1" customWidth="1"/>
    <col min="13" max="13" width="14.7109375" customWidth="1"/>
    <col min="14" max="21" width="11" bestFit="1" customWidth="1"/>
    <col min="22" max="22" width="13.28515625" bestFit="1" customWidth="1"/>
    <col min="23" max="23" width="8.7109375" customWidth="1"/>
    <col min="24" max="28" width="11" bestFit="1" customWidth="1"/>
    <col min="29" max="29" width="13" customWidth="1"/>
    <col min="30" max="36" width="11" bestFit="1" customWidth="1"/>
    <col min="37" max="37" width="13.140625" customWidth="1"/>
    <col min="38" max="38" width="14.28515625" customWidth="1"/>
    <col min="39" max="41" width="12.7109375" bestFit="1" customWidth="1"/>
    <col min="42" max="43" width="11.7109375" bestFit="1" customWidth="1"/>
    <col min="44" max="46" width="11" bestFit="1" customWidth="1"/>
    <col min="47" max="49" width="12.7109375" bestFit="1" customWidth="1"/>
    <col min="50" max="50" width="11.7109375" bestFit="1" customWidth="1"/>
    <col min="51" max="53" width="12.28515625" customWidth="1"/>
  </cols>
  <sheetData>
    <row r="1" spans="1:112">
      <c r="A1" t="s">
        <v>320</v>
      </c>
    </row>
    <row r="2" spans="1:112" ht="42" customHeight="1">
      <c r="A2" t="s">
        <v>11</v>
      </c>
      <c r="B2" t="s">
        <v>16</v>
      </c>
      <c r="C2" t="s">
        <v>28</v>
      </c>
      <c r="D2" t="s">
        <v>17</v>
      </c>
      <c r="E2" t="s">
        <v>18</v>
      </c>
      <c r="F2" t="s">
        <v>19</v>
      </c>
      <c r="G2" t="s">
        <v>20</v>
      </c>
      <c r="H2" t="s">
        <v>17</v>
      </c>
      <c r="I2" t="s">
        <v>18</v>
      </c>
      <c r="J2" t="s">
        <v>19</v>
      </c>
      <c r="K2" t="s">
        <v>20</v>
      </c>
      <c r="L2" t="s">
        <v>23</v>
      </c>
      <c r="M2" t="s">
        <v>22</v>
      </c>
      <c r="N2" t="s">
        <v>24</v>
      </c>
      <c r="O2" t="s">
        <v>25</v>
      </c>
      <c r="P2" t="s">
        <v>26</v>
      </c>
      <c r="Q2" t="s">
        <v>27</v>
      </c>
      <c r="R2" t="s">
        <v>257</v>
      </c>
      <c r="S2" t="s">
        <v>258</v>
      </c>
      <c r="T2" t="s">
        <v>259</v>
      </c>
      <c r="U2" t="s">
        <v>260</v>
      </c>
      <c r="V2" t="s">
        <v>239</v>
      </c>
      <c r="W2" t="s">
        <v>243</v>
      </c>
      <c r="X2" t="s">
        <v>244</v>
      </c>
      <c r="Y2" t="s">
        <v>245</v>
      </c>
      <c r="Z2" t="s">
        <v>246</v>
      </c>
      <c r="AA2" t="s">
        <v>247</v>
      </c>
      <c r="AB2" t="s">
        <v>248</v>
      </c>
      <c r="AC2" t="s">
        <v>253</v>
      </c>
      <c r="AD2" t="s">
        <v>254</v>
      </c>
      <c r="AE2" t="s">
        <v>255</v>
      </c>
      <c r="AF2" t="s">
        <v>256</v>
      </c>
      <c r="AG2" t="s">
        <v>249</v>
      </c>
      <c r="AH2" t="s">
        <v>250</v>
      </c>
      <c r="AI2" t="s">
        <v>251</v>
      </c>
      <c r="AJ2" t="s">
        <v>252</v>
      </c>
      <c r="AK2" s="91" t="s">
        <v>261</v>
      </c>
      <c r="AL2" s="91" t="s">
        <v>262</v>
      </c>
      <c r="AM2" s="57" t="s">
        <v>263</v>
      </c>
      <c r="AN2" s="57" t="s">
        <v>264</v>
      </c>
      <c r="AO2" s="57" t="s">
        <v>265</v>
      </c>
      <c r="AP2" s="57" t="s">
        <v>266</v>
      </c>
      <c r="AQ2" s="57" t="s">
        <v>267</v>
      </c>
      <c r="AR2" s="57" t="s">
        <v>268</v>
      </c>
      <c r="AS2" s="57" t="s">
        <v>269</v>
      </c>
      <c r="AT2" s="57" t="s">
        <v>270</v>
      </c>
      <c r="AU2" s="57" t="s">
        <v>263</v>
      </c>
      <c r="AV2" s="57" t="s">
        <v>264</v>
      </c>
      <c r="AW2" s="57" t="s">
        <v>265</v>
      </c>
      <c r="AX2" s="57" t="s">
        <v>266</v>
      </c>
      <c r="AY2" s="89" t="s">
        <v>271</v>
      </c>
      <c r="AZ2" s="97" t="s">
        <v>293</v>
      </c>
      <c r="BA2" s="97" t="s">
        <v>292</v>
      </c>
      <c r="BB2" s="86" t="s">
        <v>273</v>
      </c>
      <c r="BC2" s="57" t="s">
        <v>274</v>
      </c>
      <c r="BD2" s="57" t="s">
        <v>275</v>
      </c>
      <c r="BE2" s="57" t="s">
        <v>276</v>
      </c>
      <c r="BF2" s="57" t="s">
        <v>277</v>
      </c>
      <c r="BG2" s="91" t="s">
        <v>278</v>
      </c>
      <c r="BH2" s="95" t="s">
        <v>279</v>
      </c>
      <c r="BI2" s="95" t="s">
        <v>280</v>
      </c>
      <c r="BJ2" s="57" t="s">
        <v>281</v>
      </c>
      <c r="BK2" s="57" t="s">
        <v>282</v>
      </c>
      <c r="BL2" s="57" t="s">
        <v>283</v>
      </c>
      <c r="BM2" s="57" t="s">
        <v>284</v>
      </c>
      <c r="BN2" s="93" t="s">
        <v>285</v>
      </c>
      <c r="BO2" s="57" t="s">
        <v>286</v>
      </c>
      <c r="BP2" s="57" t="s">
        <v>287</v>
      </c>
      <c r="BQ2" s="57" t="s">
        <v>288</v>
      </c>
      <c r="BR2" s="57" t="s">
        <v>289</v>
      </c>
      <c r="BS2" s="93" t="s">
        <v>290</v>
      </c>
      <c r="BT2" s="89" t="s">
        <v>291</v>
      </c>
      <c r="BU2" s="97" t="s">
        <v>294</v>
      </c>
      <c r="BV2" s="97" t="s">
        <v>295</v>
      </c>
      <c r="BW2" s="102" t="s">
        <v>296</v>
      </c>
      <c r="BX2" s="86" t="s">
        <v>297</v>
      </c>
      <c r="BY2" s="86" t="s">
        <v>298</v>
      </c>
      <c r="BZ2" s="86" t="s">
        <v>299</v>
      </c>
      <c r="CA2" s="86" t="s">
        <v>300</v>
      </c>
      <c r="CB2" s="86" t="s">
        <v>301</v>
      </c>
      <c r="CC2" s="86" t="s">
        <v>302</v>
      </c>
      <c r="CD2" s="86" t="s">
        <v>303</v>
      </c>
      <c r="CE2" s="86" t="s">
        <v>304</v>
      </c>
      <c r="CF2" s="104" t="s">
        <v>305</v>
      </c>
      <c r="CG2" s="104" t="s">
        <v>306</v>
      </c>
      <c r="CH2" s="104" t="s">
        <v>307</v>
      </c>
      <c r="CI2" s="104" t="s">
        <v>308</v>
      </c>
      <c r="CJ2" s="86" t="s">
        <v>309</v>
      </c>
      <c r="CK2" s="86" t="s">
        <v>312</v>
      </c>
      <c r="CL2" s="86" t="s">
        <v>313</v>
      </c>
      <c r="CM2" s="86" t="s">
        <v>314</v>
      </c>
      <c r="CN2" s="86" t="s">
        <v>310</v>
      </c>
      <c r="CO2" s="86" t="s">
        <v>315</v>
      </c>
      <c r="CP2" s="86" t="s">
        <v>316</v>
      </c>
      <c r="CQ2" s="86" t="s">
        <v>317</v>
      </c>
      <c r="CR2" s="93" t="s">
        <v>311</v>
      </c>
      <c r="CS2" s="93" t="s">
        <v>311</v>
      </c>
      <c r="CT2" s="105" t="s">
        <v>318</v>
      </c>
      <c r="CU2" s="97" t="s">
        <v>425</v>
      </c>
      <c r="CV2" s="97" t="s">
        <v>424</v>
      </c>
      <c r="CW2" t="s">
        <v>429</v>
      </c>
      <c r="CX2" t="s">
        <v>430</v>
      </c>
      <c r="CY2" s="97" t="s">
        <v>431</v>
      </c>
      <c r="CZ2" s="97" t="s">
        <v>432</v>
      </c>
    </row>
    <row r="3" spans="1:112">
      <c r="A3">
        <v>2013</v>
      </c>
      <c r="B3" s="87">
        <f>VLOOKUP(A3,DA!$A$1:$I$6,3,TRUE)</f>
        <v>258069</v>
      </c>
      <c r="C3" s="87">
        <v>18.3</v>
      </c>
      <c r="D3" s="88">
        <f>100%-(E3+F3+G3)</f>
        <v>0.58589999999999998</v>
      </c>
      <c r="E3" s="88">
        <v>0.13170000000000001</v>
      </c>
      <c r="F3" s="88">
        <v>0.24940000000000001</v>
      </c>
      <c r="G3" s="88">
        <v>3.3000000000000002E-2</v>
      </c>
      <c r="H3" s="87">
        <f>$B3*D3</f>
        <v>151202.62709999998</v>
      </c>
      <c r="I3" s="87">
        <f>$B3*E3</f>
        <v>33987.687300000005</v>
      </c>
      <c r="J3" s="87">
        <f>$B3*F3</f>
        <v>64362.408600000002</v>
      </c>
      <c r="K3" s="87">
        <f>$B3*G3</f>
        <v>8516.277</v>
      </c>
      <c r="L3" s="87">
        <f>VLOOKUP(A3,DA!$A$12:$I$18,3,TRUE)</f>
        <v>980756.86</v>
      </c>
      <c r="M3" s="87">
        <f>L3*1000</f>
        <v>980756860</v>
      </c>
      <c r="N3" s="87">
        <f>M3/H3</f>
        <v>6486.3744685557785</v>
      </c>
      <c r="O3" s="87">
        <f>N3/365</f>
        <v>17.770888954947338</v>
      </c>
      <c r="P3" s="87">
        <v>338.02</v>
      </c>
      <c r="Q3" s="87">
        <v>177.5</v>
      </c>
      <c r="R3" s="87">
        <v>365</v>
      </c>
      <c r="S3" s="87">
        <v>365</v>
      </c>
      <c r="T3" s="87">
        <v>365</v>
      </c>
      <c r="U3" s="87">
        <v>365</v>
      </c>
      <c r="V3" s="87">
        <v>66705</v>
      </c>
      <c r="W3" s="87">
        <f>VLOOKUP(C3,DA!A23:D74,4,TRUE)</f>
        <v>58.654925958253187</v>
      </c>
      <c r="X3" s="87">
        <f>(((V3-(V3*0.1))*1000)/W3)/14.25</f>
        <v>71825.977095590541</v>
      </c>
      <c r="Y3" s="87">
        <f>X3*D3</f>
        <v>42082.839980306497</v>
      </c>
      <c r="Z3" s="87">
        <f>Y3*E3</f>
        <v>5542.3100254063665</v>
      </c>
      <c r="AA3" s="87">
        <f>Z3*F3</f>
        <v>1382.2521203363478</v>
      </c>
      <c r="AB3" s="87">
        <f>AA3*G3</f>
        <v>45.614319971099484</v>
      </c>
      <c r="AC3" s="87">
        <f>(H3-Y3)*R3/R3</f>
        <v>109119.78711969349</v>
      </c>
      <c r="AD3" s="87">
        <f t="shared" ref="AD3:AF7" si="0">(I3-Z3)*S3/S3</f>
        <v>28445.377274593633</v>
      </c>
      <c r="AE3" s="87">
        <f t="shared" si="0"/>
        <v>62980.156479663659</v>
      </c>
      <c r="AF3" s="87">
        <f t="shared" si="0"/>
        <v>8470.6626800289014</v>
      </c>
      <c r="AG3" s="87">
        <f>Y3*R3/R3</f>
        <v>42082.839980306497</v>
      </c>
      <c r="AH3" s="87">
        <f t="shared" ref="AH3:AJ7" si="1">Z3*S3/S3</f>
        <v>5542.3100254063665</v>
      </c>
      <c r="AI3" s="87">
        <f t="shared" si="1"/>
        <v>1382.2521203363478</v>
      </c>
      <c r="AJ3" s="87">
        <f t="shared" si="1"/>
        <v>45.614319971099476</v>
      </c>
      <c r="AK3" s="92">
        <f>FE!$C$9</f>
        <v>117</v>
      </c>
      <c r="AL3" s="92">
        <v>57</v>
      </c>
      <c r="AM3" s="87">
        <f>AC3*AK3</f>
        <v>12767015.093004137</v>
      </c>
      <c r="AN3" s="87">
        <f>$AL3*AD3</f>
        <v>1621386.5046518371</v>
      </c>
      <c r="AO3" s="87">
        <f t="shared" ref="AO3:AP7" si="2">$AL3*AE3</f>
        <v>3589868.9193408284</v>
      </c>
      <c r="AP3" s="87">
        <f t="shared" si="2"/>
        <v>482827.77276164736</v>
      </c>
      <c r="AQ3" s="87">
        <f>AG3*AK3</f>
        <v>4923692.2776958598</v>
      </c>
      <c r="AR3" s="87">
        <f>AH3*$AL3</f>
        <v>315911.67144816287</v>
      </c>
      <c r="AS3" s="87">
        <f t="shared" ref="AS3:AT7" si="3">AI3*$AL3</f>
        <v>78788.370859171831</v>
      </c>
      <c r="AT3" s="87">
        <f t="shared" si="3"/>
        <v>2600.0162383526704</v>
      </c>
      <c r="AU3" s="87">
        <f>AM3+AQ3</f>
        <v>17690707.370699998</v>
      </c>
      <c r="AV3" s="87">
        <f t="shared" ref="AV3:AX7" si="4">AN3+AR3</f>
        <v>1937298.1760999998</v>
      </c>
      <c r="AW3" s="87">
        <f t="shared" si="4"/>
        <v>3668657.2902000002</v>
      </c>
      <c r="AX3" s="87">
        <f t="shared" si="4"/>
        <v>485427.78900000005</v>
      </c>
      <c r="AY3" s="90">
        <f>AU3+AV3+AW3+AX3</f>
        <v>23782090.625999998</v>
      </c>
      <c r="AZ3" s="98">
        <f>AY3*10^-9</f>
        <v>2.3782090626000001E-2</v>
      </c>
      <c r="BA3" s="98">
        <f>AY3*10^-6</f>
        <v>23.782090625999999</v>
      </c>
      <c r="BB3" s="87">
        <f>FE!$U$38</f>
        <v>2.8</v>
      </c>
      <c r="BC3">
        <v>0.13</v>
      </c>
      <c r="BD3">
        <f>VLOOKUP(C3,FE!$Q$72:$Y$91,3,TRUE)</f>
        <v>35</v>
      </c>
      <c r="BE3">
        <f>VLOOKUP(C3,FE!$Q$72:$Y$91,2,TRUE)</f>
        <v>77</v>
      </c>
      <c r="BF3">
        <v>60</v>
      </c>
      <c r="BG3" s="96">
        <f>(BB3*365)*(BC3*0.67)*(BD3/100)</f>
        <v>31.155669999999997</v>
      </c>
      <c r="BH3" s="96">
        <f>((BB3*365)*(BC3*0.67)*(BE3/100))-BG3</f>
        <v>37.386803999999998</v>
      </c>
      <c r="BI3" s="96">
        <f>((BB3*365)*(BC3*0.67)*(BF3/100))-BG3</f>
        <v>22.254050000000003</v>
      </c>
      <c r="BJ3">
        <f>(AC3*$BG3)+(AC3*$BH3)</f>
        <v>7479340.1715371255</v>
      </c>
      <c r="BK3">
        <f>(AD3*$BG3)+(AD3*$BH3)</f>
        <v>1949716.5322640247</v>
      </c>
      <c r="BL3">
        <f>(AE3*$BG3)+(AE3*$BH3)</f>
        <v>4316815.7380232774</v>
      </c>
      <c r="BM3">
        <f>(AF3*$BG3)+(AF3*$BH3)</f>
        <v>580600.17650865135</v>
      </c>
      <c r="BN3" s="94">
        <f>BJ3+BK3+BL3+BM3</f>
        <v>14326472.618333079</v>
      </c>
      <c r="BO3">
        <f>AG3*$BG3</f>
        <v>1311119.0750892356</v>
      </c>
      <c r="BP3">
        <f>AH3*$BG3</f>
        <v>172674.38218925236</v>
      </c>
      <c r="BQ3">
        <f>AI3*$BG3</f>
        <v>43064.990917999537</v>
      </c>
      <c r="BR3">
        <f>AJ3*$BG3</f>
        <v>1421.1447002939847</v>
      </c>
      <c r="BS3" s="94">
        <f>BO3+BP3+BQ3+BR3</f>
        <v>1528279.5928967814</v>
      </c>
      <c r="BT3" s="99">
        <f>BN3+BS3</f>
        <v>15854752.211229861</v>
      </c>
      <c r="BU3" s="101">
        <f>BT3*10^-9</f>
        <v>1.5854752211229863E-2</v>
      </c>
      <c r="BV3" s="100">
        <f>BT3*10^-6</f>
        <v>15.85475221122986</v>
      </c>
      <c r="BW3" s="103">
        <f>FE!$C$108</f>
        <v>0.44</v>
      </c>
      <c r="BX3">
        <f>((AC3*$P3)/1000)*$BW3*365</f>
        <v>5923678.0730171259</v>
      </c>
      <c r="BY3">
        <f>((AD3*$Q3)/1000)*$BW3*365</f>
        <v>810878.1472782034</v>
      </c>
      <c r="BZ3">
        <f>((AE3*$Q3)/1000)*$BW3*365</f>
        <v>1795343.8306875322</v>
      </c>
      <c r="CA3">
        <f t="shared" ref="CA3:CA7" si="5">((AF3*$P3)/1000)*$BW3*365</f>
        <v>459838.49589600117</v>
      </c>
      <c r="CB3">
        <f>((AG3*$P3)/1000)*$BW3*365</f>
        <v>2284509.5561649981</v>
      </c>
      <c r="CC3">
        <f>((AH3*$Q3)/1000)*$BW3*365</f>
        <v>157991.86073924659</v>
      </c>
      <c r="CD3">
        <f>((AI3*$Q3)/1000)*$BW3*365</f>
        <v>39403.170068368105</v>
      </c>
      <c r="CE3">
        <f t="shared" ref="CE3" si="6">((AJ3*$P3)/1000)*$BW3*365</f>
        <v>2476.2195213229456</v>
      </c>
      <c r="CF3" s="103">
        <f>FE!$B$136</f>
        <v>5.0000000000000001E-3</v>
      </c>
      <c r="CG3" s="103">
        <f>FE!$B$149</f>
        <v>0.01</v>
      </c>
      <c r="CH3" s="103">
        <v>0.01</v>
      </c>
      <c r="CI3" s="103">
        <f>FE!$F$155</f>
        <v>40</v>
      </c>
      <c r="CJ3">
        <f>((BX3*$CF3)*(44/28))+((BX3-(BX3*$CF3))*$CG3*(44/29))</f>
        <v>135970.29728586503</v>
      </c>
      <c r="CK3">
        <f t="shared" ref="CK3:CQ7" si="7">((BY3*$CF3)*(44/28))+((BY3-(BY3*$CF3))*$CG3*(44/29))</f>
        <v>18612.649335258702</v>
      </c>
      <c r="CL3">
        <f t="shared" si="7"/>
        <v>41209.773957988298</v>
      </c>
      <c r="CM3">
        <f t="shared" si="7"/>
        <v>10554.992391512351</v>
      </c>
      <c r="CN3">
        <f t="shared" si="7"/>
        <v>52437.934620228698</v>
      </c>
      <c r="CO3">
        <f t="shared" si="7"/>
        <v>3626.4969177369135</v>
      </c>
      <c r="CP3">
        <f t="shared" si="7"/>
        <v>904.44833128358619</v>
      </c>
      <c r="CQ3">
        <f t="shared" si="7"/>
        <v>56.8383866086522</v>
      </c>
      <c r="CR3" s="94">
        <f>CJ3+CK3+CL3+CM3</f>
        <v>206347.71297062439</v>
      </c>
      <c r="CS3" s="94">
        <f>CN3+CO3+CP3+CQ3</f>
        <v>57025.71825585785</v>
      </c>
      <c r="CT3" s="99">
        <f>CR3+CS3</f>
        <v>263373.43122648227</v>
      </c>
      <c r="CU3" s="101">
        <f>CT3*10^-9</f>
        <v>2.6337343122648227E-4</v>
      </c>
      <c r="CV3" s="100">
        <f>CT3*10^-6</f>
        <v>0.26337343122648227</v>
      </c>
      <c r="CW3">
        <f>(BX3+BY3+BZ3+CA3+CB3+CC3+CD3+CE3)-((BX3+BY3+BZ3+CA3+CB3+CC3+CD3+CE3)*CF3+(BX3+BY3+BZ3+CA3+CB3+CC3+CD3+CE3)*CG3)</f>
        <v>11302007.563072206</v>
      </c>
      <c r="CX3">
        <f>CW3*(CI3/100)*CH3*(44/28)</f>
        <v>71041.19039645388</v>
      </c>
      <c r="CY3" s="101">
        <f>CX3*10^-9</f>
        <v>7.1041190396453879E-5</v>
      </c>
      <c r="CZ3" s="100">
        <f>CX3*10^-6</f>
        <v>7.1041190396453874E-2</v>
      </c>
    </row>
    <row r="4" spans="1:112">
      <c r="A4">
        <v>2014</v>
      </c>
      <c r="B4" s="87">
        <f>VLOOKUP(A4,DA!A2:I7,3,TRUE)</f>
        <v>269940</v>
      </c>
      <c r="C4" s="87">
        <v>18.600000000000001</v>
      </c>
      <c r="D4" s="88">
        <f t="shared" ref="D4:D7" si="8">100%-(E4+F4+G4)</f>
        <v>0.58589999999999998</v>
      </c>
      <c r="E4" s="88">
        <v>0.13170000000000001</v>
      </c>
      <c r="F4" s="88">
        <v>0.24940000000000001</v>
      </c>
      <c r="G4" s="88">
        <v>3.3000000000000002E-2</v>
      </c>
      <c r="H4" s="87">
        <f t="shared" ref="H4:H7" si="9">$B4*D4</f>
        <v>158157.84599999999</v>
      </c>
      <c r="I4" s="87">
        <f t="shared" ref="I4:K7" si="10">$B4*E4</f>
        <v>35551.098000000005</v>
      </c>
      <c r="J4" s="87">
        <f t="shared" si="10"/>
        <v>67323.036000000007</v>
      </c>
      <c r="K4" s="87">
        <f t="shared" si="10"/>
        <v>8908.02</v>
      </c>
      <c r="L4" s="87">
        <f>VLOOKUP(A4,DA!A13:I19,3,TRUE)</f>
        <v>1007345.98</v>
      </c>
      <c r="M4" s="87">
        <f t="shared" ref="M4:M7" si="11">L4*1000</f>
        <v>1007345980</v>
      </c>
      <c r="N4" s="87">
        <f t="shared" ref="N4:N7" si="12">M4/H4</f>
        <v>6369.2444319202477</v>
      </c>
      <c r="O4" s="87">
        <f t="shared" ref="O4:O7" si="13">N4/365</f>
        <v>17.449984744986981</v>
      </c>
      <c r="P4" s="87">
        <v>338.02</v>
      </c>
      <c r="Q4" s="87">
        <v>177.5</v>
      </c>
      <c r="R4" s="87">
        <v>365</v>
      </c>
      <c r="S4" s="87">
        <v>365</v>
      </c>
      <c r="T4" s="87">
        <v>365</v>
      </c>
      <c r="U4" s="87">
        <v>365</v>
      </c>
      <c r="V4" s="87">
        <v>66705</v>
      </c>
      <c r="W4" s="87">
        <f>VLOOKUP(C4,DA!A24:D75,4,TRUE)</f>
        <v>58.654925958253187</v>
      </c>
      <c r="X4" s="87">
        <f t="shared" ref="X4:X7" si="14">(((V4-(V4*0.1))*1000)/W4)/14.25</f>
        <v>71825.977095590541</v>
      </c>
      <c r="Y4" s="87">
        <f t="shared" ref="Y4:Y7" si="15">X4*D4</f>
        <v>42082.839980306497</v>
      </c>
      <c r="Z4" s="87">
        <f t="shared" ref="Z4:AB7" si="16">Y4*E4</f>
        <v>5542.3100254063665</v>
      </c>
      <c r="AA4" s="87">
        <f t="shared" si="16"/>
        <v>1382.2521203363478</v>
      </c>
      <c r="AB4" s="87">
        <f t="shared" si="16"/>
        <v>45.614319971099484</v>
      </c>
      <c r="AC4" s="87">
        <f t="shared" ref="AC4:AC7" si="17">(H4-Y4)*R4/R4</f>
        <v>116075.00601969349</v>
      </c>
      <c r="AD4" s="87">
        <f t="shared" si="0"/>
        <v>30008.787974593637</v>
      </c>
      <c r="AE4" s="87">
        <f t="shared" si="0"/>
        <v>65940.783879663664</v>
      </c>
      <c r="AF4" s="87">
        <f t="shared" si="0"/>
        <v>8862.4056800289018</v>
      </c>
      <c r="AG4" s="87">
        <f t="shared" ref="AG4:AG7" si="18">Y4*R4/R4</f>
        <v>42082.839980306497</v>
      </c>
      <c r="AH4" s="87">
        <f t="shared" si="1"/>
        <v>5542.3100254063665</v>
      </c>
      <c r="AI4" s="87">
        <f t="shared" si="1"/>
        <v>1382.2521203363478</v>
      </c>
      <c r="AJ4" s="87">
        <f t="shared" si="1"/>
        <v>45.614319971099476</v>
      </c>
      <c r="AK4" s="92">
        <f>FE!$C$9</f>
        <v>117</v>
      </c>
      <c r="AL4" s="92">
        <v>57</v>
      </c>
      <c r="AM4" s="87">
        <f t="shared" ref="AM4:AM7" si="19">AC4*AK4</f>
        <v>13580775.704304138</v>
      </c>
      <c r="AN4" s="87">
        <f t="shared" ref="AN4:AN7" si="20">$AL4*AD4</f>
        <v>1710500.9145518374</v>
      </c>
      <c r="AO4" s="87">
        <f t="shared" si="2"/>
        <v>3758624.6811408289</v>
      </c>
      <c r="AP4" s="87">
        <f t="shared" si="2"/>
        <v>505157.12376164738</v>
      </c>
      <c r="AQ4" s="87">
        <f t="shared" ref="AQ4:AQ7" si="21">AG4*AK4</f>
        <v>4923692.2776958598</v>
      </c>
      <c r="AR4" s="87">
        <f t="shared" ref="AR4:AR7" si="22">AH4*$AL4</f>
        <v>315911.67144816287</v>
      </c>
      <c r="AS4" s="87">
        <f t="shared" si="3"/>
        <v>78788.370859171831</v>
      </c>
      <c r="AT4" s="87">
        <f t="shared" si="3"/>
        <v>2600.0162383526704</v>
      </c>
      <c r="AU4" s="87">
        <f t="shared" ref="AU4:AU7" si="23">AM4+AQ4</f>
        <v>18504467.981999997</v>
      </c>
      <c r="AV4" s="87">
        <f t="shared" si="4"/>
        <v>2026412.5860000001</v>
      </c>
      <c r="AW4" s="87">
        <f t="shared" si="4"/>
        <v>3837413.0520000006</v>
      </c>
      <c r="AX4" s="87">
        <f t="shared" si="4"/>
        <v>507757.14000000007</v>
      </c>
      <c r="AY4" s="90">
        <f t="shared" ref="AY4:AY7" si="24">AU4+AV4+AW4+AX4</f>
        <v>24876050.759999998</v>
      </c>
      <c r="AZ4" s="98">
        <f t="shared" ref="AZ4:AZ7" si="25">AY4*10^-9</f>
        <v>2.4876050760000001E-2</v>
      </c>
      <c r="BA4" s="98">
        <f t="shared" ref="BA4:BA7" si="26">AY4*10^-6</f>
        <v>24.876050759999998</v>
      </c>
      <c r="BB4" s="87">
        <f>FE!$U$38</f>
        <v>2.8</v>
      </c>
      <c r="BC4">
        <v>0.13</v>
      </c>
      <c r="BD4">
        <f>VLOOKUP(C4,FE!$Q$72:$Y$91,3,TRUE)</f>
        <v>35</v>
      </c>
      <c r="BE4">
        <f>VLOOKUP(C4,FE!$Q$72:$Y$91,2,TRUE)</f>
        <v>77</v>
      </c>
      <c r="BF4">
        <v>60</v>
      </c>
      <c r="BG4" s="96">
        <f t="shared" ref="BG4:BG7" si="27">(BB4*365)*(BC4*0.67)*(BD4/100)</f>
        <v>31.155669999999997</v>
      </c>
      <c r="BH4" s="96">
        <f t="shared" ref="BH4:BH7" si="28">((BB4*365)*(BC4*0.67)*(BE4/100))-BG4</f>
        <v>37.386803999999998</v>
      </c>
      <c r="BI4" s="96">
        <f t="shared" ref="BI4:BI7" si="29">((BB4*365)*(BC4*0.67)*(BF4/100))-BG4</f>
        <v>22.254050000000003</v>
      </c>
      <c r="BJ4">
        <f t="shared" ref="BJ4:BJ7" si="30">(AC4*$BG4)+(AC4*$BH4)</f>
        <v>7956068.0821546838</v>
      </c>
      <c r="BK4">
        <f t="shared" ref="BK4:BM7" si="31">(AD4*$BG4)+(AD4*$BH4)</f>
        <v>2056876.5695200968</v>
      </c>
      <c r="BL4">
        <f t="shared" si="31"/>
        <v>4519744.4646114651</v>
      </c>
      <c r="BM4">
        <f t="shared" si="31"/>
        <v>607451.21090083336</v>
      </c>
      <c r="BN4" s="94">
        <f t="shared" ref="BN4:BN7" si="32">BJ4+BK4+BL4+BM4</f>
        <v>15140140.32718708</v>
      </c>
      <c r="BO4">
        <f t="shared" ref="BO4:BO7" si="33">AG4*$BG4</f>
        <v>1311119.0750892356</v>
      </c>
      <c r="BP4">
        <f t="shared" ref="BP4:BR7" si="34">AH4*$BG4</f>
        <v>172674.38218925236</v>
      </c>
      <c r="BQ4">
        <f t="shared" si="34"/>
        <v>43064.990917999537</v>
      </c>
      <c r="BR4">
        <f t="shared" si="34"/>
        <v>1421.1447002939847</v>
      </c>
      <c r="BS4" s="94">
        <f t="shared" ref="BS4:BS7" si="35">BO4+BP4+BQ4+BR4</f>
        <v>1528279.5928967814</v>
      </c>
      <c r="BT4" s="99">
        <f t="shared" ref="BT4:BT7" si="36">BN4+BS4</f>
        <v>16668419.920083862</v>
      </c>
      <c r="BU4" s="101">
        <f t="shared" ref="BU4:BU7" si="37">BT4*10^-9</f>
        <v>1.6668419920083864E-2</v>
      </c>
      <c r="BV4" s="100">
        <f t="shared" ref="BV4:BV7" si="38">BT4*10^-6</f>
        <v>16.66841992008386</v>
      </c>
      <c r="BW4" s="103">
        <f>FE!$C$108</f>
        <v>0.44</v>
      </c>
      <c r="BX4">
        <f t="shared" ref="BX4:BX7" si="39">((AC4*$P4)/1000)*$BW4*365</f>
        <v>6301249.1696851533</v>
      </c>
      <c r="BY4">
        <f t="shared" ref="BY4:BY7" si="40">((AD4*$Q4)/1000)*$BW4*365</f>
        <v>855445.51439775364</v>
      </c>
      <c r="BZ4">
        <f t="shared" ref="BZ4:BZ7" si="41">((AE4*$Q4)/1000)*$BW4*365</f>
        <v>1879740.9556656324</v>
      </c>
      <c r="CA4">
        <f t="shared" si="5"/>
        <v>481104.66109491698</v>
      </c>
      <c r="CB4">
        <f t="shared" ref="CB4:CB7" si="42">((AG4*$P4)/1000)*$BW4*365</f>
        <v>2284509.5561649981</v>
      </c>
      <c r="CC4">
        <f t="shared" ref="CC4:CC7" si="43">((AH4*$Q4)/1000)*$BW4*365</f>
        <v>157991.86073924659</v>
      </c>
      <c r="CD4">
        <f t="shared" ref="CD4:CD7" si="44">((AI4*$Q4)/1000)*$BW4*365</f>
        <v>39403.170068368105</v>
      </c>
      <c r="CE4">
        <f t="shared" ref="CE4:CE7" si="45">((AJ4*$P4)/1000)*$BW4*365</f>
        <v>2476.2195213229456</v>
      </c>
      <c r="CF4" s="103">
        <f>FE!$B$136</f>
        <v>5.0000000000000001E-3</v>
      </c>
      <c r="CG4" s="103">
        <f>FE!$B$149</f>
        <v>0.01</v>
      </c>
      <c r="CH4" s="103">
        <v>0.01</v>
      </c>
      <c r="CI4" s="103">
        <f>FE!$F$155</f>
        <v>40</v>
      </c>
      <c r="CJ4">
        <f t="shared" ref="CJ4:CJ7" si="46">((BX4*$CF4)*(44/28))+((BX4-(BX4*$CF4))*$CG4*(44/29))</f>
        <v>144636.94892150216</v>
      </c>
      <c r="CK4">
        <f t="shared" si="7"/>
        <v>19635.635068412674</v>
      </c>
      <c r="CL4">
        <f t="shared" si="7"/>
        <v>43146.999788273795</v>
      </c>
      <c r="CM4">
        <f t="shared" si="7"/>
        <v>11043.129452403326</v>
      </c>
      <c r="CN4">
        <f t="shared" si="7"/>
        <v>52437.934620228698</v>
      </c>
      <c r="CO4">
        <f t="shared" si="7"/>
        <v>3626.4969177369135</v>
      </c>
      <c r="CP4">
        <f t="shared" si="7"/>
        <v>904.44833128358619</v>
      </c>
      <c r="CQ4">
        <f t="shared" si="7"/>
        <v>56.8383866086522</v>
      </c>
      <c r="CR4" s="94">
        <f t="shared" ref="CR4:CR7" si="47">CJ4+CK4+CL4+CM4</f>
        <v>218462.71323059194</v>
      </c>
      <c r="CS4" s="94">
        <f t="shared" ref="CS4:CS7" si="48">CN4+CO4+CP4+CQ4</f>
        <v>57025.71825585785</v>
      </c>
      <c r="CT4" s="99">
        <f t="shared" ref="CT4:CT7" si="49">CR4+CS4</f>
        <v>275488.43148644979</v>
      </c>
      <c r="CU4" s="101">
        <f t="shared" ref="CU4:CU7" si="50">CT4*10^-9</f>
        <v>2.7548843148644982E-4</v>
      </c>
      <c r="CV4" s="100">
        <f t="shared" ref="CV4:CV7" si="51">CT4*10^-6</f>
        <v>0.27548843148644975</v>
      </c>
      <c r="CW4">
        <f t="shared" ref="CW4:CW7" si="52">(BX4+BY4+BZ4+CA4+CB4+CC4+CD4+CE4)-((BX4+BY4+BZ4+CA4+CB4+CC4+CD4+CE4)*CF4+(BX4+BY4+BZ4+CA4+CB4+CC4+CD4+CE4)*CG4)</f>
        <v>11821892.290727332</v>
      </c>
      <c r="CX4">
        <f t="shared" ref="CX4:CX7" si="53">CW4*(CI4/100)*CH4*(44/28)</f>
        <v>74309.037256000374</v>
      </c>
      <c r="CY4" s="101">
        <f t="shared" ref="CY4:CY7" si="54">CX4*10^-9</f>
        <v>7.4309037256000378E-5</v>
      </c>
      <c r="CZ4" s="100">
        <f t="shared" ref="CZ4:CZ7" si="55">CX4*10^-6</f>
        <v>7.4309037256000368E-2</v>
      </c>
    </row>
    <row r="5" spans="1:112">
      <c r="A5">
        <v>2015</v>
      </c>
      <c r="B5" s="87">
        <f>VLOOKUP(A5,DA!A3:I8,3,TRUE)</f>
        <v>276202</v>
      </c>
      <c r="C5" s="87">
        <v>19</v>
      </c>
      <c r="D5" s="88">
        <f t="shared" si="8"/>
        <v>0.58589999999999998</v>
      </c>
      <c r="E5" s="88">
        <v>0.13170000000000001</v>
      </c>
      <c r="F5" s="88">
        <v>0.24940000000000001</v>
      </c>
      <c r="G5" s="88">
        <v>3.3000000000000002E-2</v>
      </c>
      <c r="H5" s="87">
        <f t="shared" si="9"/>
        <v>161826.7518</v>
      </c>
      <c r="I5" s="87">
        <f t="shared" si="10"/>
        <v>36375.803400000004</v>
      </c>
      <c r="J5" s="87">
        <f t="shared" si="10"/>
        <v>68884.7788</v>
      </c>
      <c r="K5" s="87">
        <f t="shared" si="10"/>
        <v>9114.6660000000011</v>
      </c>
      <c r="L5" s="87">
        <f>VLOOKUP(A5,DA!A14:I20,3,TRUE)</f>
        <v>1034226.87</v>
      </c>
      <c r="M5" s="87">
        <f t="shared" si="11"/>
        <v>1034226870</v>
      </c>
      <c r="N5" s="87">
        <f t="shared" si="12"/>
        <v>6390.9511777026228</v>
      </c>
      <c r="O5" s="87">
        <f t="shared" si="13"/>
        <v>17.509455281377047</v>
      </c>
      <c r="P5" s="87">
        <v>338.18</v>
      </c>
      <c r="Q5" s="87">
        <v>172.93</v>
      </c>
      <c r="R5" s="87">
        <v>365</v>
      </c>
      <c r="S5" s="87">
        <v>365</v>
      </c>
      <c r="T5" s="87">
        <v>365</v>
      </c>
      <c r="U5" s="87">
        <v>365</v>
      </c>
      <c r="V5" s="87">
        <v>66705</v>
      </c>
      <c r="W5" s="87">
        <f>VLOOKUP(C5,DA!A25:D76,4,TRUE)</f>
        <v>55.885224414240781</v>
      </c>
      <c r="X5" s="87">
        <f t="shared" si="14"/>
        <v>75385.710848957446</v>
      </c>
      <c r="Y5" s="87">
        <f t="shared" si="15"/>
        <v>44168.487986404165</v>
      </c>
      <c r="Z5" s="87">
        <f t="shared" si="16"/>
        <v>5816.9898678094287</v>
      </c>
      <c r="AA5" s="87">
        <f t="shared" si="16"/>
        <v>1450.7572730316715</v>
      </c>
      <c r="AB5" s="87">
        <f t="shared" si="16"/>
        <v>47.87499001004516</v>
      </c>
      <c r="AC5" s="87">
        <f t="shared" si="17"/>
        <v>117658.26381359584</v>
      </c>
      <c r="AD5" s="87">
        <f t="shared" si="0"/>
        <v>30558.813532190576</v>
      </c>
      <c r="AE5" s="87">
        <f t="shared" si="0"/>
        <v>67434.021526968325</v>
      </c>
      <c r="AF5" s="87">
        <f t="shared" si="0"/>
        <v>9066.7910099899564</v>
      </c>
      <c r="AG5" s="87">
        <f t="shared" si="18"/>
        <v>44168.487986404165</v>
      </c>
      <c r="AH5" s="87">
        <f t="shared" si="1"/>
        <v>5816.9898678094287</v>
      </c>
      <c r="AI5" s="87">
        <f t="shared" si="1"/>
        <v>1450.7572730316713</v>
      </c>
      <c r="AJ5" s="87">
        <f t="shared" si="1"/>
        <v>47.87499001004516</v>
      </c>
      <c r="AK5" s="92">
        <f>FE!$C$9</f>
        <v>117</v>
      </c>
      <c r="AL5" s="92">
        <v>57</v>
      </c>
      <c r="AM5" s="87">
        <f t="shared" si="19"/>
        <v>13766016.866190713</v>
      </c>
      <c r="AN5" s="87">
        <f t="shared" si="20"/>
        <v>1741852.3713348629</v>
      </c>
      <c r="AO5" s="87">
        <f t="shared" si="2"/>
        <v>3843739.2270371947</v>
      </c>
      <c r="AP5" s="87">
        <f t="shared" si="2"/>
        <v>516807.0875694275</v>
      </c>
      <c r="AQ5" s="87">
        <f t="shared" si="21"/>
        <v>5167713.094409287</v>
      </c>
      <c r="AR5" s="87">
        <f t="shared" si="22"/>
        <v>331568.42246513744</v>
      </c>
      <c r="AS5" s="87">
        <f t="shared" si="3"/>
        <v>82693.164562805265</v>
      </c>
      <c r="AT5" s="87">
        <f t="shared" si="3"/>
        <v>2728.8744305725741</v>
      </c>
      <c r="AU5" s="87">
        <f t="shared" si="23"/>
        <v>18933729.9606</v>
      </c>
      <c r="AV5" s="87">
        <f t="shared" si="4"/>
        <v>2073420.7938000003</v>
      </c>
      <c r="AW5" s="87">
        <f t="shared" si="4"/>
        <v>3926432.3915999997</v>
      </c>
      <c r="AX5" s="87">
        <f t="shared" si="4"/>
        <v>519535.96200000006</v>
      </c>
      <c r="AY5" s="90">
        <f t="shared" si="24"/>
        <v>25453119.107999999</v>
      </c>
      <c r="AZ5" s="98">
        <f t="shared" si="25"/>
        <v>2.5453119108000001E-2</v>
      </c>
      <c r="BA5" s="98">
        <f t="shared" si="26"/>
        <v>25.453119107999999</v>
      </c>
      <c r="BB5" s="87">
        <f>FE!$U$38</f>
        <v>2.8</v>
      </c>
      <c r="BC5">
        <v>0.13</v>
      </c>
      <c r="BD5">
        <f>VLOOKUP(C5,FE!$Q$72:$Y$91,3,TRUE)</f>
        <v>39</v>
      </c>
      <c r="BE5">
        <f>VLOOKUP(C5,FE!$Q$72:$Y$91,2,TRUE)</f>
        <v>77</v>
      </c>
      <c r="BF5">
        <v>60</v>
      </c>
      <c r="BG5" s="96">
        <f t="shared" si="27"/>
        <v>34.716318000000001</v>
      </c>
      <c r="BH5" s="96">
        <f t="shared" si="28"/>
        <v>33.826155999999997</v>
      </c>
      <c r="BI5" s="96">
        <f t="shared" si="29"/>
        <v>18.693401999999999</v>
      </c>
      <c r="BJ5">
        <f t="shared" si="30"/>
        <v>8064588.4883285332</v>
      </c>
      <c r="BK5">
        <f t="shared" si="31"/>
        <v>2094576.6820010205</v>
      </c>
      <c r="BL5">
        <f t="shared" si="31"/>
        <v>4622094.6672276668</v>
      </c>
      <c r="BM5">
        <f t="shared" si="31"/>
        <v>621460.28706567036</v>
      </c>
      <c r="BN5" s="94">
        <f t="shared" si="32"/>
        <v>15402720.124622891</v>
      </c>
      <c r="BO5">
        <f t="shared" si="33"/>
        <v>1533367.2745151867</v>
      </c>
      <c r="BP5">
        <f t="shared" si="34"/>
        <v>201944.47005365009</v>
      </c>
      <c r="BQ5">
        <f t="shared" si="34"/>
        <v>50364.950831380324</v>
      </c>
      <c r="BR5">
        <f t="shared" si="34"/>
        <v>1662.0433774355511</v>
      </c>
      <c r="BS5" s="94">
        <f t="shared" si="35"/>
        <v>1787338.7387776526</v>
      </c>
      <c r="BT5" s="99">
        <f t="shared" si="36"/>
        <v>17190058.863400545</v>
      </c>
      <c r="BU5" s="101">
        <f t="shared" si="37"/>
        <v>1.7190058863400547E-2</v>
      </c>
      <c r="BV5" s="100">
        <f t="shared" si="38"/>
        <v>17.190058863400544</v>
      </c>
      <c r="BW5" s="103">
        <f>FE!$C$108</f>
        <v>0.44</v>
      </c>
      <c r="BX5">
        <f t="shared" si="39"/>
        <v>6390221.2680309834</v>
      </c>
      <c r="BY5">
        <f t="shared" si="40"/>
        <v>848696.42123394762</v>
      </c>
      <c r="BZ5">
        <f t="shared" si="41"/>
        <v>1872815.2740309765</v>
      </c>
      <c r="CA5">
        <f t="shared" si="5"/>
        <v>492432.90583159961</v>
      </c>
      <c r="CB5">
        <f t="shared" si="42"/>
        <v>2398866.022319091</v>
      </c>
      <c r="CC5">
        <f t="shared" si="43"/>
        <v>161552.6884891497</v>
      </c>
      <c r="CD5">
        <f t="shared" si="44"/>
        <v>40291.240509193929</v>
      </c>
      <c r="CE5">
        <f t="shared" si="45"/>
        <v>2600.1724779284905</v>
      </c>
      <c r="CF5" s="103">
        <f>FE!$B$136</f>
        <v>5.0000000000000001E-3</v>
      </c>
      <c r="CG5" s="103">
        <f>FE!$B$149</f>
        <v>0.01</v>
      </c>
      <c r="CH5" s="103">
        <v>0.01</v>
      </c>
      <c r="CI5" s="103">
        <f>FE!$F$155</f>
        <v>40</v>
      </c>
      <c r="CJ5">
        <f t="shared" si="46"/>
        <v>146679.18729318801</v>
      </c>
      <c r="CK5">
        <f t="shared" si="7"/>
        <v>19480.718445230064</v>
      </c>
      <c r="CL5">
        <f t="shared" si="7"/>
        <v>42988.029807264713</v>
      </c>
      <c r="CM5">
        <f t="shared" si="7"/>
        <v>11303.15452223114</v>
      </c>
      <c r="CN5">
        <f t="shared" si="7"/>
        <v>55062.838017724309</v>
      </c>
      <c r="CO5">
        <f t="shared" si="7"/>
        <v>3708.2310703647381</v>
      </c>
      <c r="CP5">
        <f t="shared" si="7"/>
        <v>924.8328289489657</v>
      </c>
      <c r="CQ5">
        <f t="shared" si="7"/>
        <v>59.683564917022629</v>
      </c>
      <c r="CR5" s="94">
        <f t="shared" si="47"/>
        <v>220451.09006791393</v>
      </c>
      <c r="CS5" s="94">
        <f t="shared" si="48"/>
        <v>59755.585481955037</v>
      </c>
      <c r="CT5" s="99">
        <f t="shared" si="49"/>
        <v>280206.67554986896</v>
      </c>
      <c r="CU5" s="101">
        <f t="shared" si="50"/>
        <v>2.80206675549869E-4</v>
      </c>
      <c r="CV5" s="100">
        <f t="shared" si="51"/>
        <v>0.28020667554986894</v>
      </c>
      <c r="CW5">
        <f t="shared" si="52"/>
        <v>12024363.853029028</v>
      </c>
      <c r="CX5">
        <f t="shared" si="53"/>
        <v>75581.715647611039</v>
      </c>
      <c r="CY5" s="101">
        <f t="shared" si="54"/>
        <v>7.5581715647611043E-5</v>
      </c>
      <c r="CZ5" s="100">
        <f t="shared" si="55"/>
        <v>7.5581715647611042E-2</v>
      </c>
    </row>
    <row r="6" spans="1:112">
      <c r="A6">
        <v>2016</v>
      </c>
      <c r="B6" s="87">
        <f>VLOOKUP(A6,DA!A4:I9,3,TRUE)</f>
        <v>275285</v>
      </c>
      <c r="C6" s="87">
        <v>19.100000000000001</v>
      </c>
      <c r="D6" s="88">
        <f t="shared" si="8"/>
        <v>0.58589999999999998</v>
      </c>
      <c r="E6" s="88">
        <v>0.13170000000000001</v>
      </c>
      <c r="F6" s="88">
        <v>0.24940000000000001</v>
      </c>
      <c r="G6" s="88">
        <v>3.3000000000000002E-2</v>
      </c>
      <c r="H6" s="87">
        <f t="shared" si="9"/>
        <v>161289.48149999999</v>
      </c>
      <c r="I6" s="87">
        <f t="shared" si="10"/>
        <v>36255.034500000002</v>
      </c>
      <c r="J6" s="87">
        <f t="shared" si="10"/>
        <v>68656.078999999998</v>
      </c>
      <c r="K6" s="87">
        <f t="shared" si="10"/>
        <v>9084.4050000000007</v>
      </c>
      <c r="L6" s="87">
        <f>VLOOKUP(A6,DA!A15:I21,3,TRUE)</f>
        <v>1051731.3700000001</v>
      </c>
      <c r="M6" s="87">
        <f t="shared" si="11"/>
        <v>1051731370.0000001</v>
      </c>
      <c r="N6" s="87">
        <f t="shared" si="12"/>
        <v>6520.7684978514872</v>
      </c>
      <c r="O6" s="87">
        <f t="shared" si="13"/>
        <v>17.865119172195854</v>
      </c>
      <c r="P6" s="87">
        <v>400.64</v>
      </c>
      <c r="Q6" s="87">
        <v>207.13</v>
      </c>
      <c r="R6" s="87">
        <v>365</v>
      </c>
      <c r="S6" s="87">
        <v>365</v>
      </c>
      <c r="T6" s="87">
        <v>365</v>
      </c>
      <c r="U6" s="87">
        <v>365</v>
      </c>
      <c r="V6" s="87">
        <v>66705</v>
      </c>
      <c r="W6" s="87">
        <f>VLOOKUP(C6,DA!A26:D77,4,TRUE)</f>
        <v>55.885224414240781</v>
      </c>
      <c r="X6" s="87">
        <f t="shared" si="14"/>
        <v>75385.710848957446</v>
      </c>
      <c r="Y6" s="87">
        <f t="shared" si="15"/>
        <v>44168.487986404165</v>
      </c>
      <c r="Z6" s="87">
        <f t="shared" si="16"/>
        <v>5816.9898678094287</v>
      </c>
      <c r="AA6" s="87">
        <f t="shared" si="16"/>
        <v>1450.7572730316715</v>
      </c>
      <c r="AB6" s="87">
        <f t="shared" si="16"/>
        <v>47.87499001004516</v>
      </c>
      <c r="AC6" s="87">
        <f t="shared" si="17"/>
        <v>117120.99351359584</v>
      </c>
      <c r="AD6" s="87">
        <f t="shared" si="0"/>
        <v>30438.044632190573</v>
      </c>
      <c r="AE6" s="87">
        <f t="shared" si="0"/>
        <v>67205.321726968323</v>
      </c>
      <c r="AF6" s="87">
        <f t="shared" si="0"/>
        <v>9036.5300099899559</v>
      </c>
      <c r="AG6" s="87">
        <f t="shared" si="18"/>
        <v>44168.487986404165</v>
      </c>
      <c r="AH6" s="87">
        <f t="shared" si="1"/>
        <v>5816.9898678094287</v>
      </c>
      <c r="AI6" s="87">
        <f t="shared" si="1"/>
        <v>1450.7572730316713</v>
      </c>
      <c r="AJ6" s="87">
        <f t="shared" si="1"/>
        <v>47.87499001004516</v>
      </c>
      <c r="AK6" s="92">
        <f>FE!$C$9</f>
        <v>117</v>
      </c>
      <c r="AL6" s="92">
        <v>57</v>
      </c>
      <c r="AM6" s="87">
        <f t="shared" si="19"/>
        <v>13703156.241090713</v>
      </c>
      <c r="AN6" s="87">
        <f t="shared" si="20"/>
        <v>1734968.5440348627</v>
      </c>
      <c r="AO6" s="87">
        <f t="shared" si="2"/>
        <v>3830703.3384371945</v>
      </c>
      <c r="AP6" s="87">
        <f t="shared" si="2"/>
        <v>515082.21056942747</v>
      </c>
      <c r="AQ6" s="87">
        <f t="shared" si="21"/>
        <v>5167713.094409287</v>
      </c>
      <c r="AR6" s="87">
        <f t="shared" si="22"/>
        <v>331568.42246513744</v>
      </c>
      <c r="AS6" s="87">
        <f t="shared" si="3"/>
        <v>82693.164562805265</v>
      </c>
      <c r="AT6" s="87">
        <f t="shared" si="3"/>
        <v>2728.8744305725741</v>
      </c>
      <c r="AU6" s="87">
        <f t="shared" si="23"/>
        <v>18870869.335500002</v>
      </c>
      <c r="AV6" s="87">
        <f t="shared" si="4"/>
        <v>2066536.9665000001</v>
      </c>
      <c r="AW6" s="87">
        <f t="shared" si="4"/>
        <v>3913396.5029999996</v>
      </c>
      <c r="AX6" s="87">
        <f t="shared" si="4"/>
        <v>517811.08500000002</v>
      </c>
      <c r="AY6" s="90">
        <f t="shared" si="24"/>
        <v>25368613.890000001</v>
      </c>
      <c r="AZ6" s="98">
        <f t="shared" si="25"/>
        <v>2.5368613890000002E-2</v>
      </c>
      <c r="BA6" s="98">
        <f t="shared" si="26"/>
        <v>25.368613889999999</v>
      </c>
      <c r="BB6" s="87">
        <f>FE!$U$35</f>
        <v>2.9</v>
      </c>
      <c r="BC6">
        <v>0.13</v>
      </c>
      <c r="BD6">
        <f>VLOOKUP(C6,FE!$Q$72:$Y$91,3,TRUE)</f>
        <v>39</v>
      </c>
      <c r="BE6">
        <f>VLOOKUP(C6,FE!$Q$72:$Y$91,2,TRUE)</f>
        <v>77</v>
      </c>
      <c r="BF6">
        <v>60</v>
      </c>
      <c r="BG6" s="96">
        <f t="shared" si="27"/>
        <v>35.956186500000001</v>
      </c>
      <c r="BH6" s="96">
        <f t="shared" si="28"/>
        <v>35.034233</v>
      </c>
      <c r="BI6" s="96">
        <f t="shared" si="29"/>
        <v>19.361023500000002</v>
      </c>
      <c r="BJ6">
        <f t="shared" si="30"/>
        <v>8314468.4617869481</v>
      </c>
      <c r="BK6">
        <f t="shared" si="31"/>
        <v>2160809.5571989319</v>
      </c>
      <c r="BL6">
        <f t="shared" si="31"/>
        <v>4770933.9820299456</v>
      </c>
      <c r="BM6">
        <f t="shared" si="31"/>
        <v>641507.05623352621</v>
      </c>
      <c r="BN6" s="94">
        <f t="shared" si="32"/>
        <v>15887719.057249352</v>
      </c>
      <c r="BO6">
        <f t="shared" si="33"/>
        <v>1588130.3914621577</v>
      </c>
      <c r="BP6">
        <f t="shared" si="34"/>
        <v>209156.77255556616</v>
      </c>
      <c r="BQ6">
        <f t="shared" si="34"/>
        <v>52163.699075358192</v>
      </c>
      <c r="BR6">
        <f t="shared" si="34"/>
        <v>1721.4020694868207</v>
      </c>
      <c r="BS6" s="94">
        <f t="shared" si="35"/>
        <v>1851172.265162569</v>
      </c>
      <c r="BT6" s="99">
        <f t="shared" si="36"/>
        <v>17738891.322411921</v>
      </c>
      <c r="BU6" s="101">
        <f t="shared" si="37"/>
        <v>1.7738891322411923E-2</v>
      </c>
      <c r="BV6" s="100">
        <f t="shared" si="38"/>
        <v>17.73889132241192</v>
      </c>
      <c r="BW6" s="103">
        <f>FE!$C$108</f>
        <v>0.44</v>
      </c>
      <c r="BX6">
        <f t="shared" si="39"/>
        <v>7535890.7875106977</v>
      </c>
      <c r="BY6">
        <f t="shared" si="40"/>
        <v>1012523.9288573009</v>
      </c>
      <c r="BZ6">
        <f t="shared" si="41"/>
        <v>2235590.2692626957</v>
      </c>
      <c r="CA6">
        <f t="shared" si="5"/>
        <v>581435.49854230159</v>
      </c>
      <c r="CB6">
        <f t="shared" si="42"/>
        <v>2841923.4821157982</v>
      </c>
      <c r="CC6">
        <f t="shared" si="43"/>
        <v>193502.6216778903</v>
      </c>
      <c r="CD6">
        <f t="shared" si="44"/>
        <v>48259.553846465831</v>
      </c>
      <c r="CE6">
        <f t="shared" si="45"/>
        <v>3080.4101412184932</v>
      </c>
      <c r="CF6" s="103">
        <f>FE!$B$136</f>
        <v>5.0000000000000001E-3</v>
      </c>
      <c r="CG6" s="103">
        <f>FE!$B$149</f>
        <v>0.01</v>
      </c>
      <c r="CH6" s="103">
        <v>0.01</v>
      </c>
      <c r="CI6" s="103">
        <f>FE!$F$155</f>
        <v>40</v>
      </c>
      <c r="CJ6">
        <f t="shared" si="46"/>
        <v>172976.53553440809</v>
      </c>
      <c r="CK6">
        <f t="shared" si="7"/>
        <v>23241.165019228964</v>
      </c>
      <c r="CL6">
        <f t="shared" si="7"/>
        <v>51315.056249539193</v>
      </c>
      <c r="CM6">
        <f t="shared" si="7"/>
        <v>13346.092852254722</v>
      </c>
      <c r="CN6">
        <f t="shared" si="7"/>
        <v>65232.643631856023</v>
      </c>
      <c r="CO6">
        <f t="shared" si="7"/>
        <v>4441.6000786714167</v>
      </c>
      <c r="CP6">
        <f t="shared" si="7"/>
        <v>1107.7350596206513</v>
      </c>
      <c r="CQ6">
        <f t="shared" si="7"/>
        <v>70.706793566609321</v>
      </c>
      <c r="CR6" s="94">
        <f t="shared" si="47"/>
        <v>260878.84965543097</v>
      </c>
      <c r="CS6" s="94">
        <f t="shared" si="48"/>
        <v>70852.685563714709</v>
      </c>
      <c r="CT6" s="99">
        <f t="shared" si="49"/>
        <v>331731.53521914571</v>
      </c>
      <c r="CU6" s="101">
        <f t="shared" si="50"/>
        <v>3.3173153521914574E-4</v>
      </c>
      <c r="CV6" s="100">
        <f t="shared" si="51"/>
        <v>0.33173153521914567</v>
      </c>
      <c r="CW6">
        <f t="shared" si="52"/>
        <v>14235423.453675052</v>
      </c>
      <c r="CX6">
        <f t="shared" si="53"/>
        <v>89479.804565957471</v>
      </c>
      <c r="CY6" s="101">
        <f t="shared" si="54"/>
        <v>8.9479804565957479E-5</v>
      </c>
      <c r="CZ6" s="100">
        <f t="shared" si="55"/>
        <v>8.9479804565957471E-2</v>
      </c>
    </row>
    <row r="7" spans="1:112">
      <c r="A7">
        <v>2017</v>
      </c>
      <c r="B7" s="87">
        <f>VLOOKUP(A7,DA!A5:I10,3,TRUE)</f>
        <v>284766</v>
      </c>
      <c r="C7" s="87">
        <v>19.399999999999999</v>
      </c>
      <c r="D7" s="88">
        <f t="shared" si="8"/>
        <v>0.58589999999999998</v>
      </c>
      <c r="E7" s="88">
        <v>0.13170000000000001</v>
      </c>
      <c r="F7" s="88">
        <v>0.24940000000000001</v>
      </c>
      <c r="G7" s="88">
        <v>3.3000000000000002E-2</v>
      </c>
      <c r="H7" s="87">
        <f t="shared" si="9"/>
        <v>166844.39939999999</v>
      </c>
      <c r="I7" s="87">
        <f t="shared" si="10"/>
        <v>37503.682200000003</v>
      </c>
      <c r="J7" s="87">
        <f t="shared" si="10"/>
        <v>71020.640400000004</v>
      </c>
      <c r="K7" s="87">
        <f t="shared" si="10"/>
        <v>9397.2780000000002</v>
      </c>
      <c r="L7" s="87">
        <f>VLOOKUP(A7,DA!A16:I22,3,TRUE)</f>
        <v>1095174.6399999999</v>
      </c>
      <c r="M7" s="87">
        <f t="shared" si="11"/>
        <v>1095174640</v>
      </c>
      <c r="N7" s="87">
        <f t="shared" si="12"/>
        <v>6564.0479628829544</v>
      </c>
      <c r="O7" s="87">
        <f t="shared" si="13"/>
        <v>17.983693048994397</v>
      </c>
      <c r="P7" s="87">
        <v>429.6</v>
      </c>
      <c r="Q7" s="87">
        <v>225.01</v>
      </c>
      <c r="R7" s="87">
        <v>365</v>
      </c>
      <c r="S7" s="87">
        <v>365</v>
      </c>
      <c r="T7" s="87">
        <v>365</v>
      </c>
      <c r="U7" s="87">
        <v>365</v>
      </c>
      <c r="V7" s="87">
        <v>66705</v>
      </c>
      <c r="W7" s="87">
        <f>VLOOKUP(C7,DA!A27:D78,4,TRUE)</f>
        <v>55.885224414240781</v>
      </c>
      <c r="X7" s="87">
        <f t="shared" si="14"/>
        <v>75385.710848957446</v>
      </c>
      <c r="Y7" s="87">
        <f t="shared" si="15"/>
        <v>44168.487986404165</v>
      </c>
      <c r="Z7" s="87">
        <f t="shared" si="16"/>
        <v>5816.9898678094287</v>
      </c>
      <c r="AA7" s="87">
        <f t="shared" si="16"/>
        <v>1450.7572730316715</v>
      </c>
      <c r="AB7" s="87">
        <f t="shared" si="16"/>
        <v>47.87499001004516</v>
      </c>
      <c r="AC7" s="87">
        <f t="shared" si="17"/>
        <v>122675.91141359584</v>
      </c>
      <c r="AD7" s="87">
        <f t="shared" si="0"/>
        <v>31686.692332190578</v>
      </c>
      <c r="AE7" s="87">
        <f t="shared" si="0"/>
        <v>69569.883126968329</v>
      </c>
      <c r="AF7" s="87">
        <f t="shared" si="0"/>
        <v>9349.4030099899555</v>
      </c>
      <c r="AG7" s="87">
        <f t="shared" si="18"/>
        <v>44168.487986404165</v>
      </c>
      <c r="AH7" s="87">
        <f t="shared" si="1"/>
        <v>5816.9898678094287</v>
      </c>
      <c r="AI7" s="87">
        <f t="shared" si="1"/>
        <v>1450.7572730316713</v>
      </c>
      <c r="AJ7" s="87">
        <f t="shared" si="1"/>
        <v>47.87499001004516</v>
      </c>
      <c r="AK7" s="92">
        <f>FE!$C$9</f>
        <v>117</v>
      </c>
      <c r="AL7" s="92">
        <v>57</v>
      </c>
      <c r="AM7" s="87">
        <f t="shared" si="19"/>
        <v>14353081.635390714</v>
      </c>
      <c r="AN7" s="87">
        <f t="shared" si="20"/>
        <v>1806141.4629348628</v>
      </c>
      <c r="AO7" s="87">
        <f t="shared" si="2"/>
        <v>3965483.3382371948</v>
      </c>
      <c r="AP7" s="87">
        <f t="shared" si="2"/>
        <v>532915.97156942752</v>
      </c>
      <c r="AQ7" s="87">
        <f t="shared" si="21"/>
        <v>5167713.094409287</v>
      </c>
      <c r="AR7" s="87">
        <f t="shared" si="22"/>
        <v>331568.42246513744</v>
      </c>
      <c r="AS7" s="87">
        <f t="shared" si="3"/>
        <v>82693.164562805265</v>
      </c>
      <c r="AT7" s="87">
        <f t="shared" si="3"/>
        <v>2728.8744305725741</v>
      </c>
      <c r="AU7" s="87">
        <f t="shared" si="23"/>
        <v>19520794.729800001</v>
      </c>
      <c r="AV7" s="87">
        <f t="shared" si="4"/>
        <v>2137709.8854</v>
      </c>
      <c r="AW7" s="87">
        <f t="shared" si="4"/>
        <v>4048176.5027999999</v>
      </c>
      <c r="AX7" s="87">
        <f t="shared" si="4"/>
        <v>535644.84600000014</v>
      </c>
      <c r="AY7" s="90">
        <f t="shared" si="24"/>
        <v>26242325.964000002</v>
      </c>
      <c r="AZ7" s="98">
        <f t="shared" si="25"/>
        <v>2.6242325964000002E-2</v>
      </c>
      <c r="BA7" s="98">
        <f t="shared" si="26"/>
        <v>26.242325963999999</v>
      </c>
      <c r="BB7" s="87">
        <f>FE!$U$35</f>
        <v>2.9</v>
      </c>
      <c r="BC7">
        <v>0.13</v>
      </c>
      <c r="BD7">
        <f>VLOOKUP(C7,FE!$Q$72:$Y$91,3,TRUE)</f>
        <v>39</v>
      </c>
      <c r="BE7">
        <f>VLOOKUP(C7,FE!$Q$72:$Y$91,2,TRUE)</f>
        <v>77</v>
      </c>
      <c r="BF7">
        <v>60</v>
      </c>
      <c r="BG7" s="96">
        <f t="shared" si="27"/>
        <v>35.956186500000001</v>
      </c>
      <c r="BH7" s="96">
        <f t="shared" si="28"/>
        <v>35.034233</v>
      </c>
      <c r="BI7" s="96">
        <f t="shared" si="29"/>
        <v>19.361023500000002</v>
      </c>
      <c r="BJ7">
        <f t="shared" si="30"/>
        <v>8708814.4137960076</v>
      </c>
      <c r="BK7">
        <f t="shared" si="31"/>
        <v>2249451.5812296425</v>
      </c>
      <c r="BL7">
        <f t="shared" si="31"/>
        <v>4938795.1877494538</v>
      </c>
      <c r="BM7">
        <f t="shared" si="31"/>
        <v>663718.0417537496</v>
      </c>
      <c r="BN7" s="94">
        <f t="shared" si="32"/>
        <v>16560779.224528853</v>
      </c>
      <c r="BO7">
        <f t="shared" si="33"/>
        <v>1588130.3914621577</v>
      </c>
      <c r="BP7">
        <f t="shared" si="34"/>
        <v>209156.77255556616</v>
      </c>
      <c r="BQ7">
        <f t="shared" si="34"/>
        <v>52163.699075358192</v>
      </c>
      <c r="BR7">
        <f t="shared" si="34"/>
        <v>1721.4020694868207</v>
      </c>
      <c r="BS7" s="94">
        <f t="shared" si="35"/>
        <v>1851172.265162569</v>
      </c>
      <c r="BT7" s="99">
        <f t="shared" si="36"/>
        <v>18411951.489691421</v>
      </c>
      <c r="BU7" s="101">
        <f t="shared" si="37"/>
        <v>1.8411951489691422E-2</v>
      </c>
      <c r="BV7" s="100">
        <f t="shared" si="38"/>
        <v>18.411951489691422</v>
      </c>
      <c r="BW7" s="103">
        <f>FE!$C$108</f>
        <v>0.44</v>
      </c>
      <c r="BX7">
        <f t="shared" si="39"/>
        <v>8463872.3898508921</v>
      </c>
      <c r="BY7">
        <f t="shared" si="40"/>
        <v>1145049.516251592</v>
      </c>
      <c r="BZ7">
        <f t="shared" si="41"/>
        <v>2514019.4560253029</v>
      </c>
      <c r="CA7">
        <f t="shared" si="5"/>
        <v>645050.46741452464</v>
      </c>
      <c r="CB7">
        <f t="shared" si="42"/>
        <v>3047350.0596968522</v>
      </c>
      <c r="CC7">
        <f t="shared" si="43"/>
        <v>210206.27095902144</v>
      </c>
      <c r="CD7">
        <f t="shared" si="44"/>
        <v>52425.44397717993</v>
      </c>
      <c r="CE7">
        <f t="shared" si="45"/>
        <v>3303.075570755454</v>
      </c>
      <c r="CF7" s="103">
        <f>FE!$B$136</f>
        <v>5.0000000000000001E-3</v>
      </c>
      <c r="CG7" s="103">
        <f>FE!$B$149</f>
        <v>0.01</v>
      </c>
      <c r="CH7" s="103">
        <v>0.01</v>
      </c>
      <c r="CI7" s="103">
        <f>FE!$F$155</f>
        <v>40</v>
      </c>
      <c r="CJ7">
        <f t="shared" si="46"/>
        <v>194277.14181157248</v>
      </c>
      <c r="CK7">
        <f t="shared" si="7"/>
        <v>26283.116876482352</v>
      </c>
      <c r="CL7">
        <f t="shared" si="7"/>
        <v>57706.034765002463</v>
      </c>
      <c r="CM7">
        <f t="shared" si="7"/>
        <v>14806.291418545414</v>
      </c>
      <c r="CN7">
        <f t="shared" si="7"/>
        <v>69947.942552529319</v>
      </c>
      <c r="CO7">
        <f t="shared" si="7"/>
        <v>4825.0105426633309</v>
      </c>
      <c r="CP7">
        <f t="shared" si="7"/>
        <v>1203.3576293402346</v>
      </c>
      <c r="CQ7">
        <f t="shared" si="7"/>
        <v>75.817787830010417</v>
      </c>
      <c r="CR7" s="94">
        <f t="shared" si="47"/>
        <v>293072.58487160271</v>
      </c>
      <c r="CS7" s="94">
        <f t="shared" si="48"/>
        <v>76052.128512362877</v>
      </c>
      <c r="CT7" s="99">
        <f t="shared" si="49"/>
        <v>369124.7133839656</v>
      </c>
      <c r="CU7" s="101">
        <f t="shared" si="50"/>
        <v>3.6912471338396564E-4</v>
      </c>
      <c r="CV7" s="100">
        <f t="shared" si="51"/>
        <v>0.36912471338396557</v>
      </c>
      <c r="CW7">
        <f t="shared" si="52"/>
        <v>15840057.529549927</v>
      </c>
      <c r="CX7">
        <f t="shared" si="53"/>
        <v>99566.07590002811</v>
      </c>
      <c r="CY7" s="101">
        <f t="shared" si="54"/>
        <v>9.9566075900028113E-5</v>
      </c>
      <c r="CZ7" s="100">
        <f t="shared" si="55"/>
        <v>9.9566075900028111E-2</v>
      </c>
    </row>
    <row r="8" spans="1:112">
      <c r="A8" t="s">
        <v>319</v>
      </c>
      <c r="CI8" s="132"/>
    </row>
    <row r="9" spans="1:112" ht="60">
      <c r="A9" t="s">
        <v>11</v>
      </c>
      <c r="B9" t="s">
        <v>16</v>
      </c>
      <c r="C9" t="s">
        <v>28</v>
      </c>
      <c r="D9" t="s">
        <v>17</v>
      </c>
      <c r="E9" t="s">
        <v>321</v>
      </c>
      <c r="F9" t="s">
        <v>19</v>
      </c>
      <c r="G9" t="s">
        <v>20</v>
      </c>
      <c r="H9" t="s">
        <v>17</v>
      </c>
      <c r="I9" t="s">
        <v>321</v>
      </c>
      <c r="J9" t="s">
        <v>19</v>
      </c>
      <c r="K9" t="s">
        <v>20</v>
      </c>
      <c r="L9" t="s">
        <v>324</v>
      </c>
      <c r="M9" s="86" t="s">
        <v>325</v>
      </c>
      <c r="N9" t="s">
        <v>24</v>
      </c>
      <c r="O9" t="s">
        <v>25</v>
      </c>
      <c r="P9" t="s">
        <v>26</v>
      </c>
      <c r="Q9" t="s">
        <v>27</v>
      </c>
      <c r="R9" t="s">
        <v>257</v>
      </c>
      <c r="S9" t="s">
        <v>326</v>
      </c>
      <c r="T9" t="s">
        <v>259</v>
      </c>
      <c r="U9" t="s">
        <v>260</v>
      </c>
      <c r="V9" t="s">
        <v>239</v>
      </c>
      <c r="W9" t="s">
        <v>243</v>
      </c>
      <c r="X9" t="s">
        <v>244</v>
      </c>
      <c r="Y9" t="s">
        <v>245</v>
      </c>
      <c r="Z9" t="s">
        <v>329</v>
      </c>
      <c r="AA9" t="s">
        <v>247</v>
      </c>
      <c r="AB9" t="s">
        <v>248</v>
      </c>
      <c r="AC9" t="s">
        <v>253</v>
      </c>
      <c r="AD9" t="s">
        <v>330</v>
      </c>
      <c r="AE9" t="s">
        <v>255</v>
      </c>
      <c r="AF9" t="s">
        <v>256</v>
      </c>
      <c r="AG9" t="s">
        <v>249</v>
      </c>
      <c r="AH9" t="s">
        <v>333</v>
      </c>
      <c r="AI9" t="s">
        <v>251</v>
      </c>
      <c r="AJ9" t="s">
        <v>252</v>
      </c>
      <c r="AK9" s="91" t="s">
        <v>261</v>
      </c>
      <c r="AL9" s="91" t="s">
        <v>262</v>
      </c>
      <c r="AM9" s="57" t="s">
        <v>263</v>
      </c>
      <c r="AN9" s="57" t="s">
        <v>331</v>
      </c>
      <c r="AO9" s="57" t="s">
        <v>265</v>
      </c>
      <c r="AP9" s="57" t="s">
        <v>266</v>
      </c>
      <c r="AQ9" s="57" t="s">
        <v>267</v>
      </c>
      <c r="AR9" s="57" t="s">
        <v>332</v>
      </c>
      <c r="AS9" s="57" t="s">
        <v>269</v>
      </c>
      <c r="AT9" s="57" t="s">
        <v>270</v>
      </c>
      <c r="AU9" s="57" t="s">
        <v>263</v>
      </c>
      <c r="AV9" s="57" t="s">
        <v>334</v>
      </c>
      <c r="AW9" s="57" t="s">
        <v>265</v>
      </c>
      <c r="AX9" s="57" t="s">
        <v>266</v>
      </c>
      <c r="AY9" s="89" t="s">
        <v>271</v>
      </c>
      <c r="AZ9" s="97" t="s">
        <v>293</v>
      </c>
      <c r="BA9" s="97" t="s">
        <v>292</v>
      </c>
      <c r="BB9" s="86" t="s">
        <v>273</v>
      </c>
      <c r="BC9" s="57" t="s">
        <v>274</v>
      </c>
      <c r="BD9" s="57" t="s">
        <v>335</v>
      </c>
      <c r="BE9" s="57" t="s">
        <v>336</v>
      </c>
      <c r="BF9" s="57" t="s">
        <v>337</v>
      </c>
      <c r="BG9" s="91" t="s">
        <v>338</v>
      </c>
      <c r="BH9" s="95" t="s">
        <v>339</v>
      </c>
      <c r="BI9" s="95" t="s">
        <v>340</v>
      </c>
      <c r="BJ9" s="57" t="s">
        <v>281</v>
      </c>
      <c r="BK9" s="57" t="s">
        <v>341</v>
      </c>
      <c r="BL9" s="57" t="s">
        <v>283</v>
      </c>
      <c r="BM9" s="57" t="s">
        <v>284</v>
      </c>
      <c r="BN9" s="93" t="s">
        <v>285</v>
      </c>
      <c r="BO9" s="57" t="s">
        <v>286</v>
      </c>
      <c r="BP9" s="57" t="s">
        <v>342</v>
      </c>
      <c r="BQ9" s="57" t="s">
        <v>288</v>
      </c>
      <c r="BR9" s="57" t="s">
        <v>289</v>
      </c>
      <c r="BS9" s="93" t="s">
        <v>290</v>
      </c>
      <c r="BT9" s="89" t="s">
        <v>291</v>
      </c>
      <c r="BU9" s="97" t="s">
        <v>294</v>
      </c>
      <c r="BV9" s="97" t="s">
        <v>295</v>
      </c>
      <c r="BW9" s="102" t="s">
        <v>296</v>
      </c>
      <c r="BX9" s="86" t="s">
        <v>297</v>
      </c>
      <c r="BY9" s="86" t="s">
        <v>343</v>
      </c>
      <c r="BZ9" s="86" t="s">
        <v>299</v>
      </c>
      <c r="CA9" s="86" t="s">
        <v>300</v>
      </c>
      <c r="CB9" s="86" t="s">
        <v>301</v>
      </c>
      <c r="CC9" s="86" t="s">
        <v>389</v>
      </c>
      <c r="CD9" s="86" t="s">
        <v>303</v>
      </c>
      <c r="CE9" s="86" t="s">
        <v>304</v>
      </c>
      <c r="CF9" s="104" t="s">
        <v>344</v>
      </c>
      <c r="CG9" s="104" t="s">
        <v>345</v>
      </c>
      <c r="CH9" s="104" t="s">
        <v>347</v>
      </c>
      <c r="CI9" s="104" t="s">
        <v>407</v>
      </c>
      <c r="CJ9" s="86" t="s">
        <v>309</v>
      </c>
      <c r="CK9" s="86" t="s">
        <v>346</v>
      </c>
      <c r="CL9" s="86" t="s">
        <v>313</v>
      </c>
      <c r="CM9" s="86" t="s">
        <v>314</v>
      </c>
      <c r="CN9" s="86" t="s">
        <v>310</v>
      </c>
      <c r="CO9" s="86" t="s">
        <v>315</v>
      </c>
      <c r="CP9" s="86" t="s">
        <v>316</v>
      </c>
      <c r="CQ9" s="86" t="s">
        <v>317</v>
      </c>
      <c r="CR9" s="93" t="s">
        <v>311</v>
      </c>
      <c r="CS9" s="93" t="s">
        <v>311</v>
      </c>
      <c r="CT9" s="105" t="s">
        <v>318</v>
      </c>
      <c r="CU9" s="97" t="s">
        <v>425</v>
      </c>
      <c r="CV9" s="97" t="s">
        <v>424</v>
      </c>
      <c r="CW9" t="s">
        <v>429</v>
      </c>
      <c r="CX9" t="s">
        <v>433</v>
      </c>
      <c r="CY9" t="s">
        <v>430</v>
      </c>
      <c r="CZ9" s="97" t="s">
        <v>431</v>
      </c>
      <c r="DA9" s="97" t="s">
        <v>432</v>
      </c>
    </row>
    <row r="10" spans="1:112">
      <c r="A10">
        <v>2013</v>
      </c>
      <c r="B10" s="87">
        <f>VLOOKUP(A10,DA!$A$1:$I$6,2,TRUE)</f>
        <v>1676947</v>
      </c>
      <c r="C10" s="87">
        <v>18.3</v>
      </c>
      <c r="D10" s="88">
        <f>100%-(E10+F10+G10)</f>
        <v>0.58589999999999998</v>
      </c>
      <c r="E10" s="88">
        <v>0.13170000000000001</v>
      </c>
      <c r="F10" s="88">
        <v>0.24940000000000001</v>
      </c>
      <c r="G10" s="88">
        <v>3.3000000000000002E-2</v>
      </c>
      <c r="H10" s="87">
        <f>$B10*D10</f>
        <v>982523.24729999993</v>
      </c>
      <c r="I10" s="87">
        <f t="shared" ref="I10:I14" si="56">$B10*E10</f>
        <v>220853.91990000001</v>
      </c>
      <c r="J10" s="87">
        <f t="shared" ref="J10:J14" si="57">$B10*F10</f>
        <v>418230.58180000004</v>
      </c>
      <c r="K10" s="87">
        <f t="shared" ref="K10:K14" si="58">$B10*G10</f>
        <v>55339.251000000004</v>
      </c>
      <c r="L10" s="87">
        <f>VLOOKUP(A10,DA!$A$12:$I$18,2,TRUE)</f>
        <v>74908.009999999995</v>
      </c>
      <c r="M10" s="87">
        <f>L10*1000/P10</f>
        <v>221608.21844861252</v>
      </c>
      <c r="N10" s="87">
        <f>M10/H10</f>
        <v>0.22555010179921728</v>
      </c>
      <c r="O10" s="87">
        <f>N10/365</f>
        <v>6.179454843814172E-4</v>
      </c>
      <c r="P10" s="87">
        <v>338.02</v>
      </c>
      <c r="Q10" s="87">
        <v>177.5</v>
      </c>
      <c r="R10" s="87">
        <v>365</v>
      </c>
      <c r="S10" s="87">
        <v>365</v>
      </c>
      <c r="T10" s="87">
        <v>300</v>
      </c>
      <c r="U10" s="87">
        <v>365</v>
      </c>
      <c r="V10" s="87">
        <v>0</v>
      </c>
      <c r="W10" s="87">
        <f>VLOOKUP(C10,DA!$A$30:$D$81,4,TRUE)</f>
        <v>58.654925958253187</v>
      </c>
      <c r="X10" s="87">
        <f>(((V10-(V10*0.1))*1000)/W10)/14.25</f>
        <v>0</v>
      </c>
      <c r="Y10" s="87">
        <f>X10*D10</f>
        <v>0</v>
      </c>
      <c r="Z10" s="87">
        <f>Y10*E10</f>
        <v>0</v>
      </c>
      <c r="AA10" s="87">
        <f>Z10*F10</f>
        <v>0</v>
      </c>
      <c r="AB10" s="87">
        <f>AA10*G10</f>
        <v>0</v>
      </c>
      <c r="AC10" s="87">
        <f>(H10-Y10)*R10/R10</f>
        <v>982523.24729999993</v>
      </c>
      <c r="AD10" s="87">
        <f t="shared" ref="AD10:AD14" si="59">(I10-Z10)*S10/S10</f>
        <v>220853.91990000001</v>
      </c>
      <c r="AE10" s="87">
        <f t="shared" ref="AE10:AE14" si="60">(J10-AA10)*T10/T10</f>
        <v>418230.58180000004</v>
      </c>
      <c r="AF10" s="87">
        <f t="shared" ref="AF10:AF14" si="61">(K10-AB10)*U10/U10</f>
        <v>55339.251000000004</v>
      </c>
      <c r="AG10" s="87">
        <f>Y10*R10/R10</f>
        <v>0</v>
      </c>
      <c r="AH10" s="87">
        <f t="shared" ref="AH10:AH14" si="62">Z10*S10/S10</f>
        <v>0</v>
      </c>
      <c r="AI10" s="87">
        <f t="shared" ref="AI10:AI14" si="63">AA10*T10/T10</f>
        <v>0</v>
      </c>
      <c r="AJ10" s="87">
        <f t="shared" ref="AJ10:AJ14" si="64">AB10*U10/U10</f>
        <v>0</v>
      </c>
      <c r="AK10" s="92">
        <f>FE!$C$6</f>
        <v>56</v>
      </c>
      <c r="AL10" s="92">
        <f>FE!$C$8</f>
        <v>53</v>
      </c>
      <c r="AM10" s="87">
        <f>AC10*AK10</f>
        <v>55021301.848799996</v>
      </c>
      <c r="AN10" s="87">
        <f>$AL10*AD10</f>
        <v>11705257.754700001</v>
      </c>
      <c r="AO10" s="87">
        <f t="shared" ref="AO10:AO14" si="65">$AL10*AE10</f>
        <v>22166220.835400004</v>
      </c>
      <c r="AP10" s="87">
        <f t="shared" ref="AP10:AP14" si="66">$AL10*AF10</f>
        <v>2932980.3030000003</v>
      </c>
      <c r="AQ10" s="87">
        <f>AG10*AK10</f>
        <v>0</v>
      </c>
      <c r="AR10" s="87">
        <f>AH10*$AL10</f>
        <v>0</v>
      </c>
      <c r="AS10" s="87">
        <f t="shared" ref="AS10:AS14" si="67">AI10*$AL10</f>
        <v>0</v>
      </c>
      <c r="AT10" s="87">
        <f t="shared" ref="AT10:AT14" si="68">AJ10*$AL10</f>
        <v>0</v>
      </c>
      <c r="AU10" s="87">
        <f>AM10+AQ10</f>
        <v>55021301.848799996</v>
      </c>
      <c r="AV10" s="87">
        <f t="shared" ref="AV10:AV14" si="69">AN10+AR10</f>
        <v>11705257.754700001</v>
      </c>
      <c r="AW10" s="87">
        <f t="shared" ref="AW10:AW14" si="70">AO10+AS10</f>
        <v>22166220.835400004</v>
      </c>
      <c r="AX10" s="87">
        <f t="shared" ref="AX10:AX14" si="71">AP10+AT10</f>
        <v>2932980.3030000003</v>
      </c>
      <c r="AY10" s="90">
        <f>AU10+AV10+AW10+AX10</f>
        <v>91825760.741899997</v>
      </c>
      <c r="AZ10" s="98">
        <f>AY10*10^-9</f>
        <v>9.1825760741900006E-2</v>
      </c>
      <c r="BA10" s="98">
        <f>AY10*10^-6</f>
        <v>91.825760741899998</v>
      </c>
      <c r="BB10" s="87">
        <v>2.7</v>
      </c>
      <c r="BC10">
        <v>0.17</v>
      </c>
      <c r="BD10">
        <f>VLOOKUP(C10,FE!$Q$72:$Y$91,3,TRUE)</f>
        <v>35</v>
      </c>
      <c r="BE10">
        <f>VLOOKUP(C10,FE!$Q$72:$Y$91,2,TRUE)</f>
        <v>77</v>
      </c>
      <c r="BF10">
        <v>60</v>
      </c>
      <c r="BG10" s="96">
        <f>(BB10*365)*(BC10*0.67)*(BD10/100)</f>
        <v>39.286957500000007</v>
      </c>
      <c r="BH10" s="96">
        <f>((BB10*365)*(BC10*0.67)*(BE10/100))-BG10</f>
        <v>47.144349000000027</v>
      </c>
      <c r="BI10" s="96">
        <f>((BB10*365)*(BC10*0.67)*(BF10/100))-BG10</f>
        <v>28.062112500000005</v>
      </c>
      <c r="BJ10">
        <f>(AC10*$BG10)</f>
        <v>38600349.059437096</v>
      </c>
      <c r="BK10">
        <f>(AD10*$BH10)+(AD10*$BI10)</f>
        <v>16609641.82408344</v>
      </c>
      <c r="BL10">
        <f t="shared" ref="BL10:BM14" si="72">(AE10*$BH10)+(AE10*$BI10)</f>
        <v>31453642.148264319</v>
      </c>
      <c r="BM10">
        <f t="shared" si="72"/>
        <v>4161869.2497703386</v>
      </c>
      <c r="BN10" s="94">
        <f>BJ10+BK10+BL10+BM10</f>
        <v>90825502.281555206</v>
      </c>
      <c r="BO10">
        <f>AG10*$BG10</f>
        <v>0</v>
      </c>
      <c r="BP10">
        <f>AH10*$BG10</f>
        <v>0</v>
      </c>
      <c r="BQ10">
        <f>AI10*$BG10</f>
        <v>0</v>
      </c>
      <c r="BR10">
        <f>AJ10*$BG10</f>
        <v>0</v>
      </c>
      <c r="BS10" s="94">
        <f>BO10+BP10+BQ10+BR10</f>
        <v>0</v>
      </c>
      <c r="BT10" s="99">
        <f>BN10+BS10</f>
        <v>90825502.281555206</v>
      </c>
      <c r="BU10" s="101">
        <f>BT10*10^-9</f>
        <v>9.0825502281555212E-2</v>
      </c>
      <c r="BV10" s="100">
        <f>BT10*10^-6</f>
        <v>90.825502281555202</v>
      </c>
      <c r="BW10" s="103">
        <f>FE!$C$111</f>
        <v>0.36</v>
      </c>
      <c r="BX10">
        <f>((AC10*$P10)/1000)*$BW10*365</f>
        <v>43639583.558078259</v>
      </c>
      <c r="BY10">
        <f>((AD10*$Q10)/1000)*$BW10*365</f>
        <v>5151086.4007876506</v>
      </c>
      <c r="BZ10">
        <f>((AE10*$Q10)/1000)*$BW10*365</f>
        <v>9754600.9746123012</v>
      </c>
      <c r="CA10">
        <f t="shared" ref="CA10:CA14" si="73">((AF10*$P10)/1000)*$BW10*365</f>
        <v>2457938.6540648281</v>
      </c>
      <c r="CB10">
        <f>((AG10*$P10)/1000)*$BW10*365</f>
        <v>0</v>
      </c>
      <c r="CC10">
        <f>((AH10*$Q10)/1000)*$BW10*365</f>
        <v>0</v>
      </c>
      <c r="CD10">
        <f>((AI10*$Q10)/1000)*$BW10*365</f>
        <v>0</v>
      </c>
      <c r="CE10">
        <f t="shared" ref="CE10:CE14" si="74">((AJ10*$P10)/1000)*$BW10*365</f>
        <v>0</v>
      </c>
      <c r="CF10" s="103">
        <f>FE!$B$132</f>
        <v>0.02</v>
      </c>
      <c r="CG10" s="103">
        <f>FE!$B$135</f>
        <v>0.02</v>
      </c>
      <c r="CH10" s="103">
        <f>FE!$B$134</f>
        <v>5.0000000000000001E-3</v>
      </c>
      <c r="CI10" s="103">
        <f>FE!$I$157</f>
        <v>40</v>
      </c>
      <c r="CJ10">
        <f>((BX10*$CF10)*(44/28))</f>
        <v>1371529.768968174</v>
      </c>
      <c r="CK10">
        <f>((BY10*$CG10)*(44/28))+((BY10-(BY10*$CG10))*$CH10*(44/28))</f>
        <v>201554.65216796251</v>
      </c>
      <c r="CL10">
        <f>((BZ10*$CG10)*(44/28))+((BZ10-(BZ10*$CG10))*$CH10*(44/28))</f>
        <v>381683.60099232988</v>
      </c>
      <c r="CM10">
        <f>((CA10*$CG10)*(44/28))+((CA10-(CA10*$CG10))*$CH10*(44/28))</f>
        <v>96175.628192622346</v>
      </c>
      <c r="CN10">
        <f t="shared" ref="CN10:CN14" si="75">((CB10*$CF10)*(44/28))+((CB10-(CB10*$CF10))*$CG10*(44/29))</f>
        <v>0</v>
      </c>
      <c r="CO10">
        <f t="shared" ref="CO10:CO14" si="76">((CC10*$CF10)*(44/28))+((CC10-(CC10*$CF10))*$CG10*(44/29))</f>
        <v>0</v>
      </c>
      <c r="CP10">
        <f t="shared" ref="CP10:CP14" si="77">((CD10*$CF10)*(44/28))+((CD10-(CD10*$CF10))*$CG10*(44/29))</f>
        <v>0</v>
      </c>
      <c r="CQ10">
        <f t="shared" ref="CQ10:CQ14" si="78">((CE10*$CF10)*(44/28))+((CE10-(CE10*$CF10))*$CG10*(44/29))</f>
        <v>0</v>
      </c>
      <c r="CR10" s="94">
        <f>CJ10+CK10+CL10+CM10</f>
        <v>2050943.650321089</v>
      </c>
      <c r="CS10" s="94">
        <f>CN10+CO10+CP10+CQ10</f>
        <v>0</v>
      </c>
      <c r="CT10" s="99">
        <f>CR10+CS10</f>
        <v>2050943.650321089</v>
      </c>
      <c r="CU10" s="101">
        <f>CT10*10^-9</f>
        <v>2.050943650321089E-3</v>
      </c>
      <c r="CV10" s="100">
        <f>CT10*10^-6</f>
        <v>2.0509436503210887</v>
      </c>
      <c r="CW10">
        <f>BX10-(BX10*CF10)</f>
        <v>42766791.886916697</v>
      </c>
      <c r="CX10">
        <f>(BY10+BZ10+CA10)-(((BY10+BZ10+CA10)*CG10)+((BY10+BZ10+CA10)*CH10))</f>
        <v>16929535.378728159</v>
      </c>
      <c r="CY10">
        <f>(CW10+CX10*(CI10/100))*0.01*(44/28)</f>
        <v>778463.80917498213</v>
      </c>
      <c r="CZ10" s="101">
        <f>CY10*10^-9</f>
        <v>7.7846380917498219E-4</v>
      </c>
      <c r="DA10" s="100">
        <f>CY10*10^-6</f>
        <v>0.77846380917498215</v>
      </c>
    </row>
    <row r="11" spans="1:112">
      <c r="A11">
        <v>2014</v>
      </c>
      <c r="B11" s="87">
        <f>VLOOKUP(A11,DA!$A$1:$I$6,2,TRUE)</f>
        <v>1708423</v>
      </c>
      <c r="C11" s="87">
        <v>18.600000000000001</v>
      </c>
      <c r="D11" s="88">
        <f t="shared" ref="D11:D14" si="79">100%-(E11+F11+G11)</f>
        <v>0.58589999999999998</v>
      </c>
      <c r="E11" s="88">
        <v>0.13170000000000001</v>
      </c>
      <c r="F11" s="88">
        <v>0.24940000000000001</v>
      </c>
      <c r="G11" s="88">
        <v>3.3000000000000002E-2</v>
      </c>
      <c r="H11" s="87">
        <f t="shared" ref="H11:H14" si="80">$B11*D11</f>
        <v>1000965.0357</v>
      </c>
      <c r="I11" s="87">
        <f t="shared" si="56"/>
        <v>224999.30910000001</v>
      </c>
      <c r="J11" s="87">
        <f t="shared" si="57"/>
        <v>426080.69620000001</v>
      </c>
      <c r="K11" s="87">
        <f t="shared" si="58"/>
        <v>56377.959000000003</v>
      </c>
      <c r="L11" s="87">
        <f>VLOOKUP(A11,DA!$A$12:$I$18,2,TRUE)</f>
        <v>72387.31</v>
      </c>
      <c r="M11" s="87">
        <f t="shared" ref="M11:M14" si="81">L11*1000/P11</f>
        <v>214150.96739837879</v>
      </c>
      <c r="N11" s="87">
        <f t="shared" ref="N11:N14" si="82">M11/H11</f>
        <v>0.21394450331486117</v>
      </c>
      <c r="O11" s="87">
        <f t="shared" ref="O11:O14" si="83">N11/365</f>
        <v>5.8614932415030458E-4</v>
      </c>
      <c r="P11" s="87">
        <v>338.02</v>
      </c>
      <c r="Q11" s="87">
        <v>177.5</v>
      </c>
      <c r="R11" s="87">
        <v>365</v>
      </c>
      <c r="S11" s="87">
        <v>365</v>
      </c>
      <c r="T11" s="87">
        <v>300</v>
      </c>
      <c r="U11" s="87">
        <v>365</v>
      </c>
      <c r="V11" s="87">
        <v>0</v>
      </c>
      <c r="W11" s="87">
        <f>VLOOKUP(C11,DA!$A$30:$D$81,4,TRUE)</f>
        <v>58.654925958253187</v>
      </c>
      <c r="X11" s="87">
        <f t="shared" ref="X11:X14" si="84">(((V11-(V11*0.1))*1000)/W11)/14.25</f>
        <v>0</v>
      </c>
      <c r="Y11" s="87">
        <f t="shared" ref="Y11:Y14" si="85">X11*D11</f>
        <v>0</v>
      </c>
      <c r="Z11" s="87">
        <f t="shared" ref="Z11:Z14" si="86">Y11*E11</f>
        <v>0</v>
      </c>
      <c r="AA11" s="87">
        <f t="shared" ref="AA11:AA14" si="87">Z11*F11</f>
        <v>0</v>
      </c>
      <c r="AB11" s="87">
        <f t="shared" ref="AB11:AB14" si="88">AA11*G11</f>
        <v>0</v>
      </c>
      <c r="AC11" s="87">
        <f t="shared" ref="AC11:AC14" si="89">(H11-Y11)*R11/R11</f>
        <v>1000965.0357</v>
      </c>
      <c r="AD11" s="87">
        <f t="shared" si="59"/>
        <v>224999.30910000001</v>
      </c>
      <c r="AE11" s="87">
        <f t="shared" si="60"/>
        <v>426080.69620000001</v>
      </c>
      <c r="AF11" s="87">
        <f t="shared" si="61"/>
        <v>56377.959000000003</v>
      </c>
      <c r="AG11" s="87">
        <f t="shared" ref="AG11:AG14" si="90">Y11*R11/R11</f>
        <v>0</v>
      </c>
      <c r="AH11" s="87">
        <f t="shared" si="62"/>
        <v>0</v>
      </c>
      <c r="AI11" s="87">
        <f t="shared" si="63"/>
        <v>0</v>
      </c>
      <c r="AJ11" s="87">
        <f t="shared" si="64"/>
        <v>0</v>
      </c>
      <c r="AK11" s="92">
        <f>FE!$C$6</f>
        <v>56</v>
      </c>
      <c r="AL11" s="92">
        <f>FE!$C$8</f>
        <v>53</v>
      </c>
      <c r="AM11" s="87">
        <f t="shared" ref="AM11:AM14" si="91">AC11*AK11</f>
        <v>56054041.999200001</v>
      </c>
      <c r="AN11" s="87">
        <f t="shared" ref="AN11:AN14" si="92">$AL11*AD11</f>
        <v>11924963.382300001</v>
      </c>
      <c r="AO11" s="87">
        <f t="shared" si="65"/>
        <v>22582276.898600001</v>
      </c>
      <c r="AP11" s="87">
        <f t="shared" si="66"/>
        <v>2988031.827</v>
      </c>
      <c r="AQ11" s="87">
        <f t="shared" ref="AQ11:AQ14" si="93">AG11*AK11</f>
        <v>0</v>
      </c>
      <c r="AR11" s="87">
        <f t="shared" ref="AR11:AR14" si="94">AH11*$AL11</f>
        <v>0</v>
      </c>
      <c r="AS11" s="87">
        <f t="shared" si="67"/>
        <v>0</v>
      </c>
      <c r="AT11" s="87">
        <f t="shared" si="68"/>
        <v>0</v>
      </c>
      <c r="AU11" s="87">
        <f t="shared" ref="AU11:AU14" si="95">AM11+AQ11</f>
        <v>56054041.999200001</v>
      </c>
      <c r="AV11" s="87">
        <f t="shared" si="69"/>
        <v>11924963.382300001</v>
      </c>
      <c r="AW11" s="87">
        <f t="shared" si="70"/>
        <v>22582276.898600001</v>
      </c>
      <c r="AX11" s="87">
        <f t="shared" si="71"/>
        <v>2988031.827</v>
      </c>
      <c r="AY11" s="90">
        <f t="shared" ref="AY11:AY14" si="96">AU11+AV11+AW11+AX11</f>
        <v>93549314.10710001</v>
      </c>
      <c r="AZ11" s="98">
        <f t="shared" ref="AZ11:AZ14" si="97">AY11*10^-9</f>
        <v>9.3549314107100018E-2</v>
      </c>
      <c r="BA11" s="98">
        <f t="shared" ref="BA11:BA14" si="98">AY11*10^-6</f>
        <v>93.549314107100003</v>
      </c>
      <c r="BB11" s="87">
        <v>2.7</v>
      </c>
      <c r="BC11">
        <v>0.17</v>
      </c>
      <c r="BD11">
        <f>VLOOKUP(C11,FE!$Q$72:$Y$91,3,TRUE)</f>
        <v>35</v>
      </c>
      <c r="BE11">
        <f>VLOOKUP(C11,FE!$Q$72:$Y$91,2,TRUE)</f>
        <v>77</v>
      </c>
      <c r="BF11">
        <v>60</v>
      </c>
      <c r="BG11" s="96">
        <f t="shared" ref="BG11:BG14" si="99">(BB11*365)*(BC11*0.67)*(BD11/100)</f>
        <v>39.286957500000007</v>
      </c>
      <c r="BH11" s="96">
        <f t="shared" ref="BH11:BH14" si="100">((BB11*365)*(BC11*0.67)*(BE11/100))-BG11</f>
        <v>47.144349000000027</v>
      </c>
      <c r="BI11" s="96">
        <f t="shared" ref="BI11:BI14" si="101">((BB11*365)*(BC11*0.67)*(BF11/100))-BG11</f>
        <v>28.062112500000005</v>
      </c>
      <c r="BJ11">
        <f t="shared" ref="BJ11:BJ14" si="102">(AC11*$BG11)</f>
        <v>39324870.816531889</v>
      </c>
      <c r="BK11">
        <f t="shared" ref="BK11:BK14" si="103">(AD11*$BH11)+(AD11*$BI11)</f>
        <v>16921401.877355758</v>
      </c>
      <c r="BL11">
        <f t="shared" si="72"/>
        <v>32044021.474658512</v>
      </c>
      <c r="BM11">
        <f t="shared" si="72"/>
        <v>4239986.8029820807</v>
      </c>
      <c r="BN11" s="94">
        <f t="shared" ref="BN11:BN14" si="104">BJ11+BK11+BL11+BM11</f>
        <v>92530280.971528247</v>
      </c>
      <c r="BO11">
        <f t="shared" ref="BO11:BO14" si="105">AG11*$BG11</f>
        <v>0</v>
      </c>
      <c r="BP11">
        <f t="shared" ref="BP11:BR14" si="106">AH11*$BG11</f>
        <v>0</v>
      </c>
      <c r="BQ11">
        <f t="shared" si="106"/>
        <v>0</v>
      </c>
      <c r="BR11">
        <f t="shared" si="106"/>
        <v>0</v>
      </c>
      <c r="BS11" s="94">
        <f t="shared" ref="BS11:BS14" si="107">BO11+BP11+BQ11+BR11</f>
        <v>0</v>
      </c>
      <c r="BT11" s="99">
        <f t="shared" ref="BT11:BT14" si="108">BN11+BS11</f>
        <v>92530280.971528247</v>
      </c>
      <c r="BU11" s="101">
        <f t="shared" ref="BU11:BU14" si="109">BT11*10^-9</f>
        <v>9.2530280971528253E-2</v>
      </c>
      <c r="BV11" s="100">
        <f t="shared" ref="BV11:BV14" si="110">BT11*10^-6</f>
        <v>92.530280971528242</v>
      </c>
      <c r="BW11" s="103">
        <f>FE!$C$111</f>
        <v>0.36</v>
      </c>
      <c r="BX11">
        <f t="shared" ref="BX11:BX14" si="111">((AC11*$P11)/1000)*$BW11*365</f>
        <v>44458690.859665051</v>
      </c>
      <c r="BY11">
        <f t="shared" ref="BY11:BY14" si="112">((AD11*$Q11)/1000)*$BW11*365</f>
        <v>5247771.3857938498</v>
      </c>
      <c r="BZ11">
        <f t="shared" ref="BZ11:BZ14" si="113">((AE11*$Q11)/1000)*$BW11*365</f>
        <v>9937693.1178206988</v>
      </c>
      <c r="CA11">
        <f t="shared" si="73"/>
        <v>2504073.7299350523</v>
      </c>
      <c r="CB11">
        <f t="shared" ref="CB11:CB14" si="114">((AG11*$P11)/1000)*$BW11*365</f>
        <v>0</v>
      </c>
      <c r="CC11">
        <f t="shared" ref="CC11:CC14" si="115">((AH11*$Q11)/1000)*$BW11*365</f>
        <v>0</v>
      </c>
      <c r="CD11">
        <f t="shared" ref="CD11:CD14" si="116">((AI11*$Q11)/1000)*$BW11*365</f>
        <v>0</v>
      </c>
      <c r="CE11">
        <f t="shared" si="74"/>
        <v>0</v>
      </c>
      <c r="CF11" s="103">
        <f>FE!$B$132</f>
        <v>0.02</v>
      </c>
      <c r="CG11" s="103">
        <f>FE!$B$135</f>
        <v>0.02</v>
      </c>
      <c r="CH11" s="103">
        <f>FE!$B$134</f>
        <v>5.0000000000000001E-3</v>
      </c>
      <c r="CI11" s="103">
        <f>FE!$I$157</f>
        <v>40</v>
      </c>
      <c r="CJ11">
        <f t="shared" ref="CJ11:CJ14" si="117">((BX11*$CF11)*(44/28))</f>
        <v>1397273.1413037588</v>
      </c>
      <c r="CK11">
        <f t="shared" ref="CK11:CK14" si="118">((BY11*$CG11)*(44/28))+((BY11-(BY11*$CG11))*$CH11*(44/28))</f>
        <v>205337.79750984794</v>
      </c>
      <c r="CL11">
        <f t="shared" ref="CL11:CL14" si="119">((BZ11*$CG11)*(44/28))+((BZ11-(BZ11*$CG11))*$CH11*(44/28))</f>
        <v>388847.73499586992</v>
      </c>
      <c r="CM11">
        <f t="shared" ref="CM11:CM14" si="120">((CA11*$CG11)*(44/28))+((CA11-(CA11*$CG11))*$CH11*(44/28))</f>
        <v>97980.827804172965</v>
      </c>
      <c r="CN11">
        <f t="shared" si="75"/>
        <v>0</v>
      </c>
      <c r="CO11">
        <f t="shared" si="76"/>
        <v>0</v>
      </c>
      <c r="CP11">
        <f t="shared" si="77"/>
        <v>0</v>
      </c>
      <c r="CQ11">
        <f t="shared" si="78"/>
        <v>0</v>
      </c>
      <c r="CR11" s="94">
        <f t="shared" ref="CR11:CR14" si="121">CJ11+CK11+CL11+CM11</f>
        <v>2089439.5016136495</v>
      </c>
      <c r="CS11" s="94">
        <f t="shared" ref="CS11:CS14" si="122">CN11+CO11+CP11+CQ11</f>
        <v>0</v>
      </c>
      <c r="CT11" s="99">
        <f t="shared" ref="CT11:CT14" si="123">CR11+CS11</f>
        <v>2089439.5016136495</v>
      </c>
      <c r="CU11" s="101">
        <f t="shared" ref="CU11:CU14" si="124">CT11*10^-9</f>
        <v>2.0894395016136497E-3</v>
      </c>
      <c r="CV11" s="100">
        <f t="shared" ref="CV11:CV14" si="125">CT11*10^-6</f>
        <v>2.0894395016136493</v>
      </c>
      <c r="CW11">
        <f t="shared" ref="CW11:CW14" si="126">BX11-(BX11*CF11)</f>
        <v>43569517.042471752</v>
      </c>
      <c r="CX11">
        <f t="shared" ref="CX11:CX14" si="127">(BY11+BZ11+CA11)-(((BY11+BZ11+CA11)*CG11)+((BY11+BZ11+CA11)*CH11))</f>
        <v>17247299.777710862</v>
      </c>
      <c r="CY11">
        <f t="shared" ref="CY11:CY14" si="128">(CW11+CX11*(CI11/100))*0.01*(44/28)</f>
        <v>793075.43784159585</v>
      </c>
      <c r="CZ11" s="101">
        <f t="shared" ref="CZ11:CZ14" si="129">CY11*10^-9</f>
        <v>7.9307543784159595E-4</v>
      </c>
      <c r="DA11" s="100">
        <f t="shared" ref="DA11:DA14" si="130">CY11*10^-6</f>
        <v>0.79307543784159584</v>
      </c>
    </row>
    <row r="12" spans="1:112">
      <c r="A12">
        <v>2015</v>
      </c>
      <c r="B12" s="87">
        <f>VLOOKUP(A12,DA!$A$1:$I$6,2,TRUE)</f>
        <v>1804348</v>
      </c>
      <c r="C12" s="87">
        <v>19</v>
      </c>
      <c r="D12" s="88">
        <f t="shared" si="79"/>
        <v>0.58589999999999998</v>
      </c>
      <c r="E12" s="88">
        <v>0.13170000000000001</v>
      </c>
      <c r="F12" s="88">
        <v>0.24940000000000001</v>
      </c>
      <c r="G12" s="88">
        <v>3.3000000000000002E-2</v>
      </c>
      <c r="H12" s="87">
        <f t="shared" si="80"/>
        <v>1057167.4931999999</v>
      </c>
      <c r="I12" s="87">
        <f t="shared" si="56"/>
        <v>237632.63160000002</v>
      </c>
      <c r="J12" s="87">
        <f t="shared" si="57"/>
        <v>450004.39120000001</v>
      </c>
      <c r="K12" s="87">
        <f t="shared" si="58"/>
        <v>59543.484000000004</v>
      </c>
      <c r="L12" s="87">
        <f>VLOOKUP(A12,DA!$A$12:$I$18,2,TRUE)</f>
        <v>71875.740000000005</v>
      </c>
      <c r="M12" s="87">
        <f t="shared" si="81"/>
        <v>212536.93299426339</v>
      </c>
      <c r="N12" s="87">
        <f t="shared" si="82"/>
        <v>0.2010437649297401</v>
      </c>
      <c r="O12" s="87">
        <f t="shared" si="83"/>
        <v>5.5080483542394552E-4</v>
      </c>
      <c r="P12" s="87">
        <v>338.18</v>
      </c>
      <c r="Q12" s="87">
        <v>172.93</v>
      </c>
      <c r="R12" s="87">
        <v>365</v>
      </c>
      <c r="S12" s="87">
        <v>365</v>
      </c>
      <c r="T12" s="87">
        <v>300</v>
      </c>
      <c r="U12" s="87">
        <v>365</v>
      </c>
      <c r="V12" s="87">
        <v>0</v>
      </c>
      <c r="W12" s="87">
        <f>VLOOKUP(C12,DA!$A$30:$D$81,4,TRUE)</f>
        <v>55.885224414240781</v>
      </c>
      <c r="X12" s="87">
        <f t="shared" si="84"/>
        <v>0</v>
      </c>
      <c r="Y12" s="87">
        <f t="shared" si="85"/>
        <v>0</v>
      </c>
      <c r="Z12" s="87">
        <f t="shared" si="86"/>
        <v>0</v>
      </c>
      <c r="AA12" s="87">
        <f t="shared" si="87"/>
        <v>0</v>
      </c>
      <c r="AB12" s="87">
        <f t="shared" si="88"/>
        <v>0</v>
      </c>
      <c r="AC12" s="87">
        <f t="shared" si="89"/>
        <v>1057167.4931999999</v>
      </c>
      <c r="AD12" s="87">
        <f t="shared" si="59"/>
        <v>237632.63160000002</v>
      </c>
      <c r="AE12" s="87">
        <f t="shared" si="60"/>
        <v>450004.39120000007</v>
      </c>
      <c r="AF12" s="87">
        <f t="shared" si="61"/>
        <v>59543.484000000004</v>
      </c>
      <c r="AG12" s="87">
        <f t="shared" si="90"/>
        <v>0</v>
      </c>
      <c r="AH12" s="87">
        <f t="shared" si="62"/>
        <v>0</v>
      </c>
      <c r="AI12" s="87">
        <f t="shared" si="63"/>
        <v>0</v>
      </c>
      <c r="AJ12" s="87">
        <f t="shared" si="64"/>
        <v>0</v>
      </c>
      <c r="AK12" s="92">
        <f>FE!$C$6</f>
        <v>56</v>
      </c>
      <c r="AL12" s="92">
        <f>FE!$C$8</f>
        <v>53</v>
      </c>
      <c r="AM12" s="87">
        <f t="shared" si="91"/>
        <v>59201379.619199991</v>
      </c>
      <c r="AN12" s="87">
        <f t="shared" si="92"/>
        <v>12594529.474800002</v>
      </c>
      <c r="AO12" s="87">
        <f t="shared" si="65"/>
        <v>23850232.733600006</v>
      </c>
      <c r="AP12" s="87">
        <f t="shared" si="66"/>
        <v>3155804.6520000002</v>
      </c>
      <c r="AQ12" s="87">
        <f t="shared" si="93"/>
        <v>0</v>
      </c>
      <c r="AR12" s="87">
        <f t="shared" si="94"/>
        <v>0</v>
      </c>
      <c r="AS12" s="87">
        <f t="shared" si="67"/>
        <v>0</v>
      </c>
      <c r="AT12" s="87">
        <f t="shared" si="68"/>
        <v>0</v>
      </c>
      <c r="AU12" s="87">
        <f t="shared" si="95"/>
        <v>59201379.619199991</v>
      </c>
      <c r="AV12" s="87">
        <f t="shared" si="69"/>
        <v>12594529.474800002</v>
      </c>
      <c r="AW12" s="87">
        <f t="shared" si="70"/>
        <v>23850232.733600006</v>
      </c>
      <c r="AX12" s="87">
        <f t="shared" si="71"/>
        <v>3155804.6520000002</v>
      </c>
      <c r="AY12" s="90">
        <f t="shared" si="96"/>
        <v>98801946.479599997</v>
      </c>
      <c r="AZ12" s="98">
        <f t="shared" si="97"/>
        <v>9.88019464796E-2</v>
      </c>
      <c r="BA12" s="98">
        <f t="shared" si="98"/>
        <v>98.801946479599991</v>
      </c>
      <c r="BB12" s="87">
        <v>2.7</v>
      </c>
      <c r="BC12">
        <v>0.17</v>
      </c>
      <c r="BD12">
        <f>VLOOKUP(C12,FE!$Q$72:$Y$91,3,TRUE)</f>
        <v>39</v>
      </c>
      <c r="BE12">
        <f>VLOOKUP(C12,FE!$Q$72:$Y$91,2,TRUE)</f>
        <v>77</v>
      </c>
      <c r="BF12">
        <v>60</v>
      </c>
      <c r="BG12" s="96">
        <f t="shared" si="99"/>
        <v>43.776895500000016</v>
      </c>
      <c r="BH12" s="96">
        <f t="shared" si="100"/>
        <v>42.654411000000017</v>
      </c>
      <c r="BI12" s="96">
        <f t="shared" si="101"/>
        <v>23.572174499999996</v>
      </c>
      <c r="BJ12">
        <f t="shared" si="102"/>
        <v>46279510.875813372</v>
      </c>
      <c r="BK12">
        <f t="shared" si="103"/>
        <v>15737597.794247407</v>
      </c>
      <c r="BL12">
        <f t="shared" si="72"/>
        <v>29802254.289182261</v>
      </c>
      <c r="BM12">
        <f t="shared" si="72"/>
        <v>3943361.6340938834</v>
      </c>
      <c r="BN12" s="94">
        <f t="shared" si="104"/>
        <v>95762724.593336925</v>
      </c>
      <c r="BO12">
        <f t="shared" si="105"/>
        <v>0</v>
      </c>
      <c r="BP12">
        <f t="shared" si="106"/>
        <v>0</v>
      </c>
      <c r="BQ12">
        <f t="shared" si="106"/>
        <v>0</v>
      </c>
      <c r="BR12">
        <f t="shared" si="106"/>
        <v>0</v>
      </c>
      <c r="BS12" s="94">
        <f t="shared" si="107"/>
        <v>0</v>
      </c>
      <c r="BT12" s="99">
        <f t="shared" si="108"/>
        <v>95762724.593336925</v>
      </c>
      <c r="BU12" s="101">
        <f t="shared" si="109"/>
        <v>9.5762724593336929E-2</v>
      </c>
      <c r="BV12" s="100">
        <f t="shared" si="110"/>
        <v>95.762724593336927</v>
      </c>
      <c r="BW12" s="103">
        <f>FE!$C$111</f>
        <v>0.36</v>
      </c>
      <c r="BX12">
        <f t="shared" si="111"/>
        <v>46977195.4345394</v>
      </c>
      <c r="BY12">
        <f t="shared" si="112"/>
        <v>5399726.7631120645</v>
      </c>
      <c r="BZ12">
        <f t="shared" si="113"/>
        <v>10225450.681246383</v>
      </c>
      <c r="CA12">
        <f t="shared" si="73"/>
        <v>2645924.9860723685</v>
      </c>
      <c r="CB12">
        <f t="shared" si="114"/>
        <v>0</v>
      </c>
      <c r="CC12">
        <f t="shared" si="115"/>
        <v>0</v>
      </c>
      <c r="CD12">
        <f t="shared" si="116"/>
        <v>0</v>
      </c>
      <c r="CE12">
        <f t="shared" si="74"/>
        <v>0</v>
      </c>
      <c r="CF12" s="103">
        <f>FE!$B$132</f>
        <v>0.02</v>
      </c>
      <c r="CG12" s="103">
        <f>FE!$B$135</f>
        <v>0.02</v>
      </c>
      <c r="CH12" s="103">
        <f>FE!$B$134</f>
        <v>5.0000000000000001E-3</v>
      </c>
      <c r="CI12" s="103">
        <f>FE!$I$157</f>
        <v>40</v>
      </c>
      <c r="CJ12">
        <f t="shared" si="117"/>
        <v>1476426.142228381</v>
      </c>
      <c r="CK12">
        <f t="shared" si="118"/>
        <v>211283.59434519921</v>
      </c>
      <c r="CL12">
        <f t="shared" si="119"/>
        <v>400107.2773704835</v>
      </c>
      <c r="CM12">
        <f t="shared" si="120"/>
        <v>103531.26481217452</v>
      </c>
      <c r="CN12">
        <f t="shared" si="75"/>
        <v>0</v>
      </c>
      <c r="CO12">
        <f t="shared" si="76"/>
        <v>0</v>
      </c>
      <c r="CP12">
        <f t="shared" si="77"/>
        <v>0</v>
      </c>
      <c r="CQ12">
        <f t="shared" si="78"/>
        <v>0</v>
      </c>
      <c r="CR12" s="94">
        <f t="shared" si="121"/>
        <v>2191348.2787562385</v>
      </c>
      <c r="CS12" s="94">
        <f t="shared" si="122"/>
        <v>0</v>
      </c>
      <c r="CT12" s="99">
        <f t="shared" si="123"/>
        <v>2191348.2787562385</v>
      </c>
      <c r="CU12" s="101">
        <f t="shared" si="124"/>
        <v>2.1913482787562387E-3</v>
      </c>
      <c r="CV12" s="100">
        <f t="shared" si="125"/>
        <v>2.1913482787562386</v>
      </c>
      <c r="CW12">
        <f t="shared" si="126"/>
        <v>46037651.525848612</v>
      </c>
      <c r="CX12">
        <f t="shared" si="127"/>
        <v>17814324.869670045</v>
      </c>
      <c r="CY12">
        <f t="shared" si="128"/>
        <v>835424.56601554703</v>
      </c>
      <c r="CZ12" s="101">
        <f t="shared" si="129"/>
        <v>8.3542456601554712E-4</v>
      </c>
      <c r="DA12" s="100">
        <f t="shared" si="130"/>
        <v>0.83542456601554693</v>
      </c>
    </row>
    <row r="13" spans="1:112">
      <c r="A13">
        <v>2016</v>
      </c>
      <c r="B13" s="87">
        <f>VLOOKUP(A13,DA!$A$1:$I$6,2,TRUE)</f>
        <v>2054634</v>
      </c>
      <c r="C13" s="87">
        <v>19.100000000000001</v>
      </c>
      <c r="D13" s="88">
        <f t="shared" si="79"/>
        <v>0.58589999999999998</v>
      </c>
      <c r="E13" s="88">
        <v>0.13170000000000001</v>
      </c>
      <c r="F13" s="88">
        <v>0.24940000000000001</v>
      </c>
      <c r="G13" s="88">
        <v>3.3000000000000002E-2</v>
      </c>
      <c r="H13" s="87">
        <f t="shared" si="80"/>
        <v>1203810.0606</v>
      </c>
      <c r="I13" s="87">
        <f t="shared" si="56"/>
        <v>270595.2978</v>
      </c>
      <c r="J13" s="87">
        <f t="shared" si="57"/>
        <v>512425.71960000001</v>
      </c>
      <c r="K13" s="87">
        <f t="shared" si="58"/>
        <v>67802.922000000006</v>
      </c>
      <c r="L13" s="87">
        <f>VLOOKUP(A13,DA!$A$12:$I$18,2,TRUE)</f>
        <v>76049.97</v>
      </c>
      <c r="M13" s="87">
        <f t="shared" si="81"/>
        <v>189821.21106230034</v>
      </c>
      <c r="N13" s="87">
        <f t="shared" si="82"/>
        <v>0.15768368887670711</v>
      </c>
      <c r="O13" s="87">
        <f t="shared" si="83"/>
        <v>4.3201010651152636E-4</v>
      </c>
      <c r="P13" s="87">
        <v>400.64</v>
      </c>
      <c r="Q13" s="87">
        <v>207.13</v>
      </c>
      <c r="R13" s="87">
        <v>365</v>
      </c>
      <c r="S13" s="87">
        <v>365</v>
      </c>
      <c r="T13" s="87">
        <v>300</v>
      </c>
      <c r="U13" s="87">
        <v>365</v>
      </c>
      <c r="V13" s="87">
        <v>0</v>
      </c>
      <c r="W13" s="87">
        <f>VLOOKUP(C13,DA!$A$30:$D$81,4,TRUE)</f>
        <v>55.885224414240781</v>
      </c>
      <c r="X13" s="87">
        <f t="shared" si="84"/>
        <v>0</v>
      </c>
      <c r="Y13" s="87">
        <f t="shared" si="85"/>
        <v>0</v>
      </c>
      <c r="Z13" s="87">
        <f t="shared" si="86"/>
        <v>0</v>
      </c>
      <c r="AA13" s="87">
        <f t="shared" si="87"/>
        <v>0</v>
      </c>
      <c r="AB13" s="87">
        <f t="shared" si="88"/>
        <v>0</v>
      </c>
      <c r="AC13" s="87">
        <f t="shared" si="89"/>
        <v>1203810.0606</v>
      </c>
      <c r="AD13" s="87">
        <f t="shared" si="59"/>
        <v>270595.2978</v>
      </c>
      <c r="AE13" s="87">
        <f t="shared" si="60"/>
        <v>512425.71960000001</v>
      </c>
      <c r="AF13" s="87">
        <f t="shared" si="61"/>
        <v>67802.922000000006</v>
      </c>
      <c r="AG13" s="87">
        <f t="shared" si="90"/>
        <v>0</v>
      </c>
      <c r="AH13" s="87">
        <f t="shared" si="62"/>
        <v>0</v>
      </c>
      <c r="AI13" s="87">
        <f t="shared" si="63"/>
        <v>0</v>
      </c>
      <c r="AJ13" s="87">
        <f t="shared" si="64"/>
        <v>0</v>
      </c>
      <c r="AK13" s="92">
        <f>FE!$C$6</f>
        <v>56</v>
      </c>
      <c r="AL13" s="92">
        <f>FE!$C$8</f>
        <v>53</v>
      </c>
      <c r="AM13" s="87">
        <f t="shared" si="91"/>
        <v>67413363.393600002</v>
      </c>
      <c r="AN13" s="87">
        <f t="shared" si="92"/>
        <v>14341550.783399999</v>
      </c>
      <c r="AO13" s="87">
        <f t="shared" si="65"/>
        <v>27158563.138799999</v>
      </c>
      <c r="AP13" s="87">
        <f t="shared" si="66"/>
        <v>3593554.8660000004</v>
      </c>
      <c r="AQ13" s="87">
        <f t="shared" si="93"/>
        <v>0</v>
      </c>
      <c r="AR13" s="87">
        <f t="shared" si="94"/>
        <v>0</v>
      </c>
      <c r="AS13" s="87">
        <f t="shared" si="67"/>
        <v>0</v>
      </c>
      <c r="AT13" s="87">
        <f t="shared" si="68"/>
        <v>0</v>
      </c>
      <c r="AU13" s="87">
        <f t="shared" si="95"/>
        <v>67413363.393600002</v>
      </c>
      <c r="AV13" s="87">
        <f t="shared" si="69"/>
        <v>14341550.783399999</v>
      </c>
      <c r="AW13" s="87">
        <f t="shared" si="70"/>
        <v>27158563.138799999</v>
      </c>
      <c r="AX13" s="87">
        <f t="shared" si="71"/>
        <v>3593554.8660000004</v>
      </c>
      <c r="AY13" s="90">
        <f t="shared" si="96"/>
        <v>112507032.18179999</v>
      </c>
      <c r="AZ13" s="98">
        <f t="shared" si="97"/>
        <v>0.1125070321818</v>
      </c>
      <c r="BA13" s="98">
        <f t="shared" si="98"/>
        <v>112.50703218179999</v>
      </c>
      <c r="BB13" s="87">
        <v>2.7</v>
      </c>
      <c r="BC13">
        <v>0.17</v>
      </c>
      <c r="BD13">
        <f>VLOOKUP(C13,FE!$Q$72:$Y$91,3,TRUE)</f>
        <v>39</v>
      </c>
      <c r="BE13">
        <f>VLOOKUP(C13,FE!$Q$72:$Y$91,2,TRUE)</f>
        <v>77</v>
      </c>
      <c r="BF13">
        <v>60</v>
      </c>
      <c r="BG13" s="96">
        <f t="shared" si="99"/>
        <v>43.776895500000016</v>
      </c>
      <c r="BH13" s="96">
        <f t="shared" si="100"/>
        <v>42.654411000000017</v>
      </c>
      <c r="BI13" s="96">
        <f t="shared" si="101"/>
        <v>23.572174499999996</v>
      </c>
      <c r="BJ13">
        <f t="shared" si="102"/>
        <v>52699067.224734887</v>
      </c>
      <c r="BK13">
        <f t="shared" si="103"/>
        <v>17920602.625649668</v>
      </c>
      <c r="BL13">
        <f t="shared" si="72"/>
        <v>33936205.731488436</v>
      </c>
      <c r="BM13">
        <f t="shared" si="72"/>
        <v>4490356.0109828319</v>
      </c>
      <c r="BN13" s="94">
        <f t="shared" si="104"/>
        <v>109046231.59285583</v>
      </c>
      <c r="BO13">
        <f t="shared" si="105"/>
        <v>0</v>
      </c>
      <c r="BP13">
        <f t="shared" si="106"/>
        <v>0</v>
      </c>
      <c r="BQ13">
        <f t="shared" si="106"/>
        <v>0</v>
      </c>
      <c r="BR13">
        <f t="shared" si="106"/>
        <v>0</v>
      </c>
      <c r="BS13" s="94">
        <f t="shared" si="107"/>
        <v>0</v>
      </c>
      <c r="BT13" s="99">
        <f t="shared" si="108"/>
        <v>109046231.59285583</v>
      </c>
      <c r="BU13" s="101">
        <f t="shared" si="109"/>
        <v>0.10904623159285583</v>
      </c>
      <c r="BV13" s="100">
        <f t="shared" si="110"/>
        <v>109.04623159285582</v>
      </c>
      <c r="BW13" s="103">
        <f>FE!$C$111</f>
        <v>0.36</v>
      </c>
      <c r="BX13">
        <f t="shared" si="111"/>
        <v>63373492.395992219</v>
      </c>
      <c r="BY13">
        <f t="shared" si="112"/>
        <v>7364760.2899774592</v>
      </c>
      <c r="BZ13">
        <f t="shared" si="113"/>
        <v>13946630.344118286</v>
      </c>
      <c r="CA13">
        <f t="shared" si="73"/>
        <v>3569423.5348485122</v>
      </c>
      <c r="CB13">
        <f t="shared" si="114"/>
        <v>0</v>
      </c>
      <c r="CC13">
        <f t="shared" si="115"/>
        <v>0</v>
      </c>
      <c r="CD13">
        <f t="shared" si="116"/>
        <v>0</v>
      </c>
      <c r="CE13">
        <f t="shared" si="74"/>
        <v>0</v>
      </c>
      <c r="CF13" s="103">
        <f>FE!$B$132</f>
        <v>0.02</v>
      </c>
      <c r="CG13" s="103">
        <f>FE!$B$135</f>
        <v>0.02</v>
      </c>
      <c r="CH13" s="103">
        <f>FE!$B$134</f>
        <v>5.0000000000000001E-3</v>
      </c>
      <c r="CI13" s="103">
        <f>FE!$I$157</f>
        <v>40</v>
      </c>
      <c r="CJ13">
        <f t="shared" si="117"/>
        <v>1991738.3324454697</v>
      </c>
      <c r="CK13">
        <f t="shared" si="118"/>
        <v>288172.54906068946</v>
      </c>
      <c r="CL13">
        <f t="shared" si="119"/>
        <v>545711.72160771408</v>
      </c>
      <c r="CM13">
        <f t="shared" si="120"/>
        <v>139666.44374214392</v>
      </c>
      <c r="CN13">
        <f t="shared" si="75"/>
        <v>0</v>
      </c>
      <c r="CO13">
        <f t="shared" si="76"/>
        <v>0</v>
      </c>
      <c r="CP13">
        <f t="shared" si="77"/>
        <v>0</v>
      </c>
      <c r="CQ13">
        <f t="shared" si="78"/>
        <v>0</v>
      </c>
      <c r="CR13" s="94">
        <f t="shared" si="121"/>
        <v>2965289.0468560169</v>
      </c>
      <c r="CS13" s="94">
        <f t="shared" si="122"/>
        <v>0</v>
      </c>
      <c r="CT13" s="99">
        <f t="shared" si="123"/>
        <v>2965289.0468560169</v>
      </c>
      <c r="CU13" s="101">
        <f t="shared" si="124"/>
        <v>2.9652890468560172E-3</v>
      </c>
      <c r="CV13" s="100">
        <f t="shared" si="125"/>
        <v>2.9652890468560167</v>
      </c>
      <c r="CW13">
        <f t="shared" si="126"/>
        <v>62106022.548072375</v>
      </c>
      <c r="CX13">
        <f t="shared" si="127"/>
        <v>24258793.814720649</v>
      </c>
      <c r="CY13">
        <f t="shared" si="128"/>
        <v>1128435.629733667</v>
      </c>
      <c r="CZ13" s="101">
        <f t="shared" si="129"/>
        <v>1.128435629733667E-3</v>
      </c>
      <c r="DA13" s="100">
        <f t="shared" si="130"/>
        <v>1.1284356297336671</v>
      </c>
    </row>
    <row r="14" spans="1:112">
      <c r="A14">
        <v>2017</v>
      </c>
      <c r="B14" s="87">
        <f>VLOOKUP(A14,DA!$A$1:$I$6,2,TRUE)</f>
        <v>2103645</v>
      </c>
      <c r="C14" s="87">
        <v>19.399999999999999</v>
      </c>
      <c r="D14" s="88">
        <f t="shared" si="79"/>
        <v>0.58589999999999998</v>
      </c>
      <c r="E14" s="88">
        <v>0.13170000000000001</v>
      </c>
      <c r="F14" s="88">
        <v>0.24940000000000001</v>
      </c>
      <c r="G14" s="88">
        <v>3.3000000000000002E-2</v>
      </c>
      <c r="H14" s="87">
        <f t="shared" si="80"/>
        <v>1232525.6055000001</v>
      </c>
      <c r="I14" s="87">
        <f t="shared" si="56"/>
        <v>277050.0465</v>
      </c>
      <c r="J14" s="87">
        <f t="shared" si="57"/>
        <v>524649.06299999997</v>
      </c>
      <c r="K14" s="87">
        <f t="shared" si="58"/>
        <v>69420.285000000003</v>
      </c>
      <c r="L14" s="87">
        <f>VLOOKUP(A14,DA!$A$12:$I$18,2,TRUE)</f>
        <v>78237.37</v>
      </c>
      <c r="M14" s="87">
        <f t="shared" si="81"/>
        <v>182116.78305400372</v>
      </c>
      <c r="N14" s="87">
        <f t="shared" si="82"/>
        <v>0.14775902605295102</v>
      </c>
      <c r="O14" s="87">
        <f t="shared" si="83"/>
        <v>4.0481924946013978E-4</v>
      </c>
      <c r="P14" s="87">
        <v>429.6</v>
      </c>
      <c r="Q14" s="87">
        <v>225.01</v>
      </c>
      <c r="R14" s="87">
        <v>365</v>
      </c>
      <c r="S14" s="87">
        <v>365</v>
      </c>
      <c r="T14" s="87">
        <v>300</v>
      </c>
      <c r="U14" s="87">
        <v>365</v>
      </c>
      <c r="V14" s="87">
        <v>0</v>
      </c>
      <c r="W14" s="87">
        <f>VLOOKUP(C14,DA!$A$30:$D$81,4,TRUE)</f>
        <v>55.885224414240781</v>
      </c>
      <c r="X14" s="87">
        <f t="shared" si="84"/>
        <v>0</v>
      </c>
      <c r="Y14" s="87">
        <f t="shared" si="85"/>
        <v>0</v>
      </c>
      <c r="Z14" s="87">
        <f t="shared" si="86"/>
        <v>0</v>
      </c>
      <c r="AA14" s="87">
        <f t="shared" si="87"/>
        <v>0</v>
      </c>
      <c r="AB14" s="87">
        <f t="shared" si="88"/>
        <v>0</v>
      </c>
      <c r="AC14" s="87">
        <f t="shared" si="89"/>
        <v>1232525.6055000001</v>
      </c>
      <c r="AD14" s="87">
        <f t="shared" si="59"/>
        <v>277050.0465</v>
      </c>
      <c r="AE14" s="87">
        <f t="shared" si="60"/>
        <v>524649.06299999997</v>
      </c>
      <c r="AF14" s="87">
        <f t="shared" si="61"/>
        <v>69420.285000000003</v>
      </c>
      <c r="AG14" s="87">
        <f t="shared" si="90"/>
        <v>0</v>
      </c>
      <c r="AH14" s="87">
        <f t="shared" si="62"/>
        <v>0</v>
      </c>
      <c r="AI14" s="87">
        <f t="shared" si="63"/>
        <v>0</v>
      </c>
      <c r="AJ14" s="87">
        <f t="shared" si="64"/>
        <v>0</v>
      </c>
      <c r="AK14" s="92">
        <f>FE!$C$6</f>
        <v>56</v>
      </c>
      <c r="AL14" s="92">
        <f>FE!$C$8</f>
        <v>53</v>
      </c>
      <c r="AM14" s="87">
        <f t="shared" si="91"/>
        <v>69021433.908000007</v>
      </c>
      <c r="AN14" s="87">
        <f t="shared" si="92"/>
        <v>14683652.464500001</v>
      </c>
      <c r="AO14" s="87">
        <f t="shared" si="65"/>
        <v>27806400.338999998</v>
      </c>
      <c r="AP14" s="87">
        <f t="shared" si="66"/>
        <v>3679275.105</v>
      </c>
      <c r="AQ14" s="87">
        <f t="shared" si="93"/>
        <v>0</v>
      </c>
      <c r="AR14" s="87">
        <f t="shared" si="94"/>
        <v>0</v>
      </c>
      <c r="AS14" s="87">
        <f t="shared" si="67"/>
        <v>0</v>
      </c>
      <c r="AT14" s="87">
        <f t="shared" si="68"/>
        <v>0</v>
      </c>
      <c r="AU14" s="87">
        <f t="shared" si="95"/>
        <v>69021433.908000007</v>
      </c>
      <c r="AV14" s="87">
        <f t="shared" si="69"/>
        <v>14683652.464500001</v>
      </c>
      <c r="AW14" s="87">
        <f t="shared" si="70"/>
        <v>27806400.338999998</v>
      </c>
      <c r="AX14" s="87">
        <f t="shared" si="71"/>
        <v>3679275.105</v>
      </c>
      <c r="AY14" s="90">
        <f t="shared" si="96"/>
        <v>115190761.81650001</v>
      </c>
      <c r="AZ14" s="98">
        <f t="shared" si="97"/>
        <v>0.11519076181650001</v>
      </c>
      <c r="BA14" s="98">
        <f t="shared" si="98"/>
        <v>115.1907618165</v>
      </c>
      <c r="BB14" s="87">
        <v>2.7</v>
      </c>
      <c r="BC14">
        <v>0.17</v>
      </c>
      <c r="BD14">
        <f>VLOOKUP(C14,FE!$Q$72:$Y$91,3,TRUE)</f>
        <v>39</v>
      </c>
      <c r="BE14">
        <f>VLOOKUP(C14,FE!$Q$72:$Y$91,2,TRUE)</f>
        <v>77</v>
      </c>
      <c r="BF14">
        <v>60</v>
      </c>
      <c r="BG14" s="96">
        <f t="shared" si="99"/>
        <v>43.776895500000016</v>
      </c>
      <c r="BH14" s="96">
        <f t="shared" si="100"/>
        <v>42.654411000000017</v>
      </c>
      <c r="BI14" s="96">
        <f t="shared" si="101"/>
        <v>23.572174499999996</v>
      </c>
      <c r="BJ14">
        <f t="shared" si="102"/>
        <v>53956144.633047745</v>
      </c>
      <c r="BK14">
        <f t="shared" si="103"/>
        <v>18348078.59231123</v>
      </c>
      <c r="BL14">
        <f t="shared" si="72"/>
        <v>34745716.028264388</v>
      </c>
      <c r="BM14">
        <f t="shared" si="72"/>
        <v>4597468.4399868688</v>
      </c>
      <c r="BN14" s="94">
        <f t="shared" si="104"/>
        <v>111647407.69361024</v>
      </c>
      <c r="BO14">
        <f t="shared" si="105"/>
        <v>0</v>
      </c>
      <c r="BP14">
        <f t="shared" si="106"/>
        <v>0</v>
      </c>
      <c r="BQ14">
        <f t="shared" si="106"/>
        <v>0</v>
      </c>
      <c r="BR14">
        <f t="shared" si="106"/>
        <v>0</v>
      </c>
      <c r="BS14" s="94">
        <f t="shared" si="107"/>
        <v>0</v>
      </c>
      <c r="BT14" s="99">
        <f t="shared" si="108"/>
        <v>111647407.69361024</v>
      </c>
      <c r="BU14" s="101">
        <f t="shared" si="109"/>
        <v>0.11164740769361024</v>
      </c>
      <c r="BV14" s="100">
        <f t="shared" si="110"/>
        <v>111.64740769361023</v>
      </c>
      <c r="BW14" s="103">
        <f>FE!$C$111</f>
        <v>0.36</v>
      </c>
      <c r="BX14">
        <f t="shared" si="111"/>
        <v>69575380.216135919</v>
      </c>
      <c r="BY14">
        <f t="shared" si="112"/>
        <v>8191348.6685336009</v>
      </c>
      <c r="BZ14">
        <f t="shared" si="113"/>
        <v>15511938.936463781</v>
      </c>
      <c r="CA14">
        <f t="shared" si="73"/>
        <v>3918736.2128904006</v>
      </c>
      <c r="CB14">
        <f t="shared" si="114"/>
        <v>0</v>
      </c>
      <c r="CC14">
        <f t="shared" si="115"/>
        <v>0</v>
      </c>
      <c r="CD14">
        <f t="shared" si="116"/>
        <v>0</v>
      </c>
      <c r="CE14">
        <f t="shared" si="74"/>
        <v>0</v>
      </c>
      <c r="CF14" s="103">
        <f>FE!$B$132</f>
        <v>0.02</v>
      </c>
      <c r="CG14" s="103">
        <f>FE!$B$135</f>
        <v>0.02</v>
      </c>
      <c r="CH14" s="103">
        <f>FE!$B$134</f>
        <v>5.0000000000000001E-3</v>
      </c>
      <c r="CI14" s="103">
        <f>FE!$I$157</f>
        <v>40</v>
      </c>
      <c r="CJ14">
        <f t="shared" si="117"/>
        <v>2186654.8067928432</v>
      </c>
      <c r="CK14">
        <f t="shared" si="118"/>
        <v>320515.77147305047</v>
      </c>
      <c r="CL14">
        <f t="shared" si="119"/>
        <v>606960.01067106135</v>
      </c>
      <c r="CM14">
        <f t="shared" si="120"/>
        <v>153334.54981581154</v>
      </c>
      <c r="CN14">
        <f t="shared" si="75"/>
        <v>0</v>
      </c>
      <c r="CO14">
        <f t="shared" si="76"/>
        <v>0</v>
      </c>
      <c r="CP14">
        <f t="shared" si="77"/>
        <v>0</v>
      </c>
      <c r="CQ14">
        <f t="shared" si="78"/>
        <v>0</v>
      </c>
      <c r="CR14" s="94">
        <f t="shared" si="121"/>
        <v>3267465.1387527669</v>
      </c>
      <c r="CS14" s="94">
        <f t="shared" si="122"/>
        <v>0</v>
      </c>
      <c r="CT14" s="99">
        <f t="shared" si="123"/>
        <v>3267465.1387527669</v>
      </c>
      <c r="CU14" s="101">
        <f t="shared" si="124"/>
        <v>3.2674651387527673E-3</v>
      </c>
      <c r="CV14" s="100">
        <f t="shared" si="125"/>
        <v>3.2674651387527667</v>
      </c>
      <c r="CW14">
        <f t="shared" si="126"/>
        <v>68183872.611813203</v>
      </c>
      <c r="CX14">
        <f t="shared" si="127"/>
        <v>26931473.222440589</v>
      </c>
      <c r="CY14">
        <f t="shared" si="128"/>
        <v>1240744.4012981197</v>
      </c>
      <c r="CZ14" s="101">
        <f t="shared" si="129"/>
        <v>1.2407444012981197E-3</v>
      </c>
      <c r="DA14" s="100">
        <f t="shared" si="130"/>
        <v>1.2407444012981197</v>
      </c>
    </row>
    <row r="15" spans="1:112">
      <c r="A15" t="s">
        <v>2</v>
      </c>
      <c r="CZ15" s="137"/>
      <c r="DA15" s="138"/>
    </row>
    <row r="16" spans="1:112" ht="60">
      <c r="A16" t="s">
        <v>11</v>
      </c>
      <c r="B16" t="s">
        <v>16</v>
      </c>
      <c r="C16" t="s">
        <v>28</v>
      </c>
      <c r="D16" t="s">
        <v>17</v>
      </c>
      <c r="E16" t="s">
        <v>321</v>
      </c>
      <c r="F16" t="s">
        <v>350</v>
      </c>
      <c r="G16" t="s">
        <v>20</v>
      </c>
      <c r="H16" t="s">
        <v>17</v>
      </c>
      <c r="I16" t="s">
        <v>321</v>
      </c>
      <c r="J16" t="s">
        <v>350</v>
      </c>
      <c r="K16" t="s">
        <v>20</v>
      </c>
      <c r="L16" t="s">
        <v>324</v>
      </c>
      <c r="M16" s="86" t="s">
        <v>325</v>
      </c>
      <c r="N16" t="s">
        <v>24</v>
      </c>
      <c r="O16" t="s">
        <v>25</v>
      </c>
      <c r="P16" t="s">
        <v>26</v>
      </c>
      <c r="Q16" t="s">
        <v>348</v>
      </c>
      <c r="R16" t="s">
        <v>349</v>
      </c>
      <c r="S16" t="s">
        <v>257</v>
      </c>
      <c r="T16" t="s">
        <v>326</v>
      </c>
      <c r="U16" t="s">
        <v>351</v>
      </c>
      <c r="V16" t="s">
        <v>260</v>
      </c>
      <c r="W16" t="s">
        <v>239</v>
      </c>
      <c r="X16" t="s">
        <v>243</v>
      </c>
      <c r="Y16" t="s">
        <v>244</v>
      </c>
      <c r="Z16" t="s">
        <v>245</v>
      </c>
      <c r="AA16" t="s">
        <v>329</v>
      </c>
      <c r="AB16" t="s">
        <v>352</v>
      </c>
      <c r="AC16" t="s">
        <v>248</v>
      </c>
      <c r="AD16" t="s">
        <v>353</v>
      </c>
      <c r="AE16" t="s">
        <v>354</v>
      </c>
      <c r="AF16" t="s">
        <v>355</v>
      </c>
      <c r="AG16" t="s">
        <v>356</v>
      </c>
      <c r="AH16" t="s">
        <v>357</v>
      </c>
      <c r="AI16" t="s">
        <v>358</v>
      </c>
      <c r="AJ16" t="s">
        <v>359</v>
      </c>
      <c r="AK16" t="s">
        <v>360</v>
      </c>
      <c r="AL16" s="91" t="s">
        <v>261</v>
      </c>
      <c r="AM16" s="91" t="s">
        <v>262</v>
      </c>
      <c r="AN16" t="s">
        <v>361</v>
      </c>
      <c r="AO16" t="s">
        <v>362</v>
      </c>
      <c r="AP16" t="s">
        <v>363</v>
      </c>
      <c r="AQ16" t="s">
        <v>364</v>
      </c>
      <c r="AR16" t="s">
        <v>365</v>
      </c>
      <c r="AS16" t="s">
        <v>332</v>
      </c>
      <c r="AT16" t="s">
        <v>366</v>
      </c>
      <c r="AU16" t="s">
        <v>367</v>
      </c>
      <c r="AV16" t="s">
        <v>361</v>
      </c>
      <c r="AW16" t="s">
        <v>362</v>
      </c>
      <c r="AX16" t="s">
        <v>363</v>
      </c>
      <c r="AY16" t="s">
        <v>364</v>
      </c>
      <c r="AZ16" s="89" t="s">
        <v>271</v>
      </c>
      <c r="BA16" s="97" t="s">
        <v>293</v>
      </c>
      <c r="BB16" s="97" t="s">
        <v>292</v>
      </c>
      <c r="BC16" s="86" t="s">
        <v>368</v>
      </c>
      <c r="BD16" s="86" t="s">
        <v>369</v>
      </c>
      <c r="BE16" s="57" t="s">
        <v>370</v>
      </c>
      <c r="BF16" s="57" t="s">
        <v>371</v>
      </c>
      <c r="BG16" s="57" t="s">
        <v>275</v>
      </c>
      <c r="BH16" s="57" t="s">
        <v>276</v>
      </c>
      <c r="BI16" s="57" t="s">
        <v>277</v>
      </c>
      <c r="BJ16" s="91" t="s">
        <v>375</v>
      </c>
      <c r="BK16" s="95" t="s">
        <v>376</v>
      </c>
      <c r="BL16" s="95" t="s">
        <v>377</v>
      </c>
      <c r="BM16" s="91" t="s">
        <v>372</v>
      </c>
      <c r="BN16" s="95" t="s">
        <v>373</v>
      </c>
      <c r="BO16" s="95" t="s">
        <v>374</v>
      </c>
      <c r="BP16" s="86" t="s">
        <v>378</v>
      </c>
      <c r="BQ16" s="86" t="s">
        <v>379</v>
      </c>
      <c r="BR16" s="86" t="s">
        <v>380</v>
      </c>
      <c r="BS16" s="86" t="s">
        <v>381</v>
      </c>
      <c r="BT16" s="93" t="s">
        <v>285</v>
      </c>
      <c r="BU16" s="86" t="s">
        <v>382</v>
      </c>
      <c r="BV16" s="86" t="s">
        <v>383</v>
      </c>
      <c r="BW16" s="86" t="s">
        <v>384</v>
      </c>
      <c r="BX16" s="86" t="s">
        <v>385</v>
      </c>
      <c r="BY16" s="93" t="s">
        <v>290</v>
      </c>
      <c r="BZ16" s="89" t="s">
        <v>291</v>
      </c>
      <c r="CA16" s="97" t="s">
        <v>294</v>
      </c>
      <c r="CB16" s="97" t="s">
        <v>295</v>
      </c>
      <c r="CC16" s="104" t="s">
        <v>386</v>
      </c>
      <c r="CD16" s="104" t="s">
        <v>387</v>
      </c>
      <c r="CE16" s="86" t="s">
        <v>297</v>
      </c>
      <c r="CF16" s="86" t="s">
        <v>343</v>
      </c>
      <c r="CG16" s="86" t="s">
        <v>388</v>
      </c>
      <c r="CH16" s="86" t="s">
        <v>300</v>
      </c>
      <c r="CI16" s="86" t="s">
        <v>301</v>
      </c>
      <c r="CJ16" s="86" t="s">
        <v>389</v>
      </c>
      <c r="CK16" s="86" t="s">
        <v>390</v>
      </c>
      <c r="CL16" s="86" t="s">
        <v>304</v>
      </c>
      <c r="CM16" s="104" t="s">
        <v>305</v>
      </c>
      <c r="CN16" s="104" t="s">
        <v>306</v>
      </c>
      <c r="CO16" s="104" t="s">
        <v>434</v>
      </c>
      <c r="CP16" s="104" t="s">
        <v>308</v>
      </c>
      <c r="CQ16" s="86" t="s">
        <v>309</v>
      </c>
      <c r="CR16" s="86" t="s">
        <v>346</v>
      </c>
      <c r="CS16" s="86" t="s">
        <v>435</v>
      </c>
      <c r="CT16" s="86" t="s">
        <v>314</v>
      </c>
      <c r="CU16" s="86" t="s">
        <v>310</v>
      </c>
      <c r="CV16" s="86" t="s">
        <v>436</v>
      </c>
      <c r="CW16" s="86" t="s">
        <v>316</v>
      </c>
      <c r="CX16" s="86" t="s">
        <v>317</v>
      </c>
      <c r="CY16" s="93" t="s">
        <v>311</v>
      </c>
      <c r="CZ16" s="93" t="s">
        <v>311</v>
      </c>
      <c r="DA16" s="105" t="s">
        <v>318</v>
      </c>
      <c r="DB16" s="97" t="s">
        <v>294</v>
      </c>
      <c r="DC16" s="97" t="s">
        <v>295</v>
      </c>
      <c r="DD16" t="s">
        <v>429</v>
      </c>
      <c r="DE16" t="s">
        <v>433</v>
      </c>
      <c r="DF16" t="s">
        <v>430</v>
      </c>
      <c r="DG16" s="97" t="s">
        <v>431</v>
      </c>
      <c r="DH16" s="97" t="s">
        <v>432</v>
      </c>
    </row>
    <row r="17" spans="1:112">
      <c r="A17">
        <v>2013</v>
      </c>
      <c r="B17" s="87">
        <f>VLOOKUP(A17,DA!$A$1:$I$6,4,TRUE)</f>
        <v>198198</v>
      </c>
      <c r="C17" s="87">
        <v>18.3</v>
      </c>
      <c r="D17" s="88">
        <f>100%-(E17+F17+G17)</f>
        <v>6.2999999999999945E-2</v>
      </c>
      <c r="E17" s="88">
        <v>0.68</v>
      </c>
      <c r="F17" s="88">
        <v>0.24</v>
      </c>
      <c r="G17" s="88">
        <v>1.7000000000000001E-2</v>
      </c>
      <c r="H17" s="87">
        <f>$B17*D17</f>
        <v>12486.473999999989</v>
      </c>
      <c r="I17" s="87">
        <f t="shared" ref="I17:I21" si="131">$B17*E17</f>
        <v>134774.64000000001</v>
      </c>
      <c r="J17" s="87">
        <f t="shared" ref="J17:J21" si="132">$B17*F17</f>
        <v>47567.519999999997</v>
      </c>
      <c r="K17" s="87">
        <f t="shared" ref="K17:K21" si="133">$B17*G17</f>
        <v>3369.3660000000004</v>
      </c>
      <c r="L17" s="87">
        <f>VLOOKUP(A17,DA!$A$12:$I$18,2,TRUE)</f>
        <v>74908.009999999995</v>
      </c>
      <c r="M17" s="87">
        <f>L17*1000/P17</f>
        <v>221608.21844861252</v>
      </c>
      <c r="N17" s="87">
        <f>M17/H17</f>
        <v>17.747862082491238</v>
      </c>
      <c r="O17" s="87">
        <f>N17/365</f>
        <v>4.8624279678058185E-2</v>
      </c>
      <c r="P17" s="87">
        <v>338.02</v>
      </c>
      <c r="Q17" s="107">
        <v>72.456999999999994</v>
      </c>
      <c r="R17" s="108">
        <v>5.94</v>
      </c>
      <c r="S17" s="87">
        <v>365</v>
      </c>
      <c r="T17" s="87">
        <v>222</v>
      </c>
      <c r="U17" s="87">
        <v>22.07</v>
      </c>
      <c r="V17" s="87">
        <v>365</v>
      </c>
      <c r="W17">
        <v>2193</v>
      </c>
      <c r="X17" s="87">
        <f>VLOOKUP(C17,DA!$A$30:$D$81,4,TRUE)</f>
        <v>58.654925958253187</v>
      </c>
      <c r="Y17" s="87">
        <f>(((W17-(W17*0.1))*1000)/X17)/14.25</f>
        <v>2361.3577358613306</v>
      </c>
      <c r="Z17" s="87">
        <f>$Y17*D17</f>
        <v>148.7655373592637</v>
      </c>
      <c r="AA17" s="87">
        <f t="shared" ref="AA17:AC21" si="134">$Y17*E17</f>
        <v>1605.7232603857049</v>
      </c>
      <c r="AB17" s="87">
        <f t="shared" si="134"/>
        <v>566.72585660671928</v>
      </c>
      <c r="AC17" s="87">
        <f t="shared" si="134"/>
        <v>40.143081509642627</v>
      </c>
      <c r="AD17" s="87">
        <f t="shared" ref="AD17:AG21" si="135">(H17-Z17)*S17/S17</f>
        <v>12337.708462640725</v>
      </c>
      <c r="AE17" s="87">
        <f t="shared" si="135"/>
        <v>133168.9167396143</v>
      </c>
      <c r="AF17" s="87">
        <f t="shared" si="135"/>
        <v>47000.794143393279</v>
      </c>
      <c r="AG17" s="87">
        <f t="shared" si="135"/>
        <v>3329.2229184903576</v>
      </c>
      <c r="AH17" s="87">
        <f>Z17*S17/S17</f>
        <v>148.7655373592637</v>
      </c>
      <c r="AI17" s="87">
        <f t="shared" ref="AI17:AI21" si="136">AA17*T17/T17</f>
        <v>1605.7232603857049</v>
      </c>
      <c r="AJ17" s="87">
        <f t="shared" ref="AJ17:AJ21" si="137">AB17*U17/U17</f>
        <v>566.72585660671928</v>
      </c>
      <c r="AK17" s="87">
        <f t="shared" ref="AK17:AK21" si="138">AC17*V17/V17</f>
        <v>40.143081509642627</v>
      </c>
      <c r="AL17" s="92">
        <f>FE!$C$25</f>
        <v>1.5</v>
      </c>
      <c r="AM17" s="92">
        <f>FE!$C$25</f>
        <v>1.5</v>
      </c>
      <c r="AN17" s="87">
        <f>AD17*AL17</f>
        <v>18506.562693961088</v>
      </c>
      <c r="AO17" s="87">
        <f>$AM17*AE17</f>
        <v>199753.37510942144</v>
      </c>
      <c r="AP17" s="87">
        <f t="shared" ref="AP17:AP21" si="139">$AM17*AF17</f>
        <v>70501.191215089915</v>
      </c>
      <c r="AQ17" s="87">
        <f t="shared" ref="AQ17:AQ21" si="140">$AM17*AG17</f>
        <v>4993.8343777355367</v>
      </c>
      <c r="AR17" s="87">
        <f>AH17*AL17</f>
        <v>223.14830603889556</v>
      </c>
      <c r="AS17" s="87">
        <f>AI17*$AM17</f>
        <v>2408.5848905785574</v>
      </c>
      <c r="AT17" s="87">
        <f t="shared" ref="AT17:AT21" si="141">AJ17*$AM17</f>
        <v>850.08878491007886</v>
      </c>
      <c r="AU17" s="87">
        <f t="shared" ref="AU17:AU21" si="142">AK17*$AM17</f>
        <v>60.214622264463941</v>
      </c>
      <c r="AV17" s="87">
        <f>AN17+AR17</f>
        <v>18729.710999999985</v>
      </c>
      <c r="AW17" s="87">
        <f t="shared" ref="AW17:AW21" si="143">AO17+AS17</f>
        <v>202161.96</v>
      </c>
      <c r="AX17" s="87">
        <f t="shared" ref="AX17:AX21" si="144">AP17+AT17</f>
        <v>71351.28</v>
      </c>
      <c r="AY17" s="87">
        <f t="shared" ref="AY17:AY21" si="145">AQ17+AU17</f>
        <v>5054.0490000000009</v>
      </c>
      <c r="AZ17" s="90">
        <f>AV17+AW17+AX17+AY17</f>
        <v>297297</v>
      </c>
      <c r="BA17" s="98">
        <f>AZ17*10^-9</f>
        <v>2.9729700000000002E-4</v>
      </c>
      <c r="BB17" s="98">
        <f>AZ17*10^-6</f>
        <v>0.29729699999999998</v>
      </c>
      <c r="BC17" s="87">
        <f>FE!$D$99</f>
        <v>0.3</v>
      </c>
      <c r="BD17" s="87">
        <f>FE!$D$63</f>
        <v>0.28000000000000003</v>
      </c>
      <c r="BE17" s="87">
        <f>FE!$C$99</f>
        <v>0.28999999999999998</v>
      </c>
      <c r="BF17" s="87">
        <f>FE!$C$63</f>
        <v>0.45</v>
      </c>
      <c r="BG17">
        <f>VLOOKUP($C17,FE!$Q$72:$Y$91,3,TRUE)</f>
        <v>35</v>
      </c>
      <c r="BH17">
        <f>VLOOKUP($C17,FE!$Q$72:$Y$91,2,TRUE)</f>
        <v>77</v>
      </c>
      <c r="BI17">
        <v>60</v>
      </c>
      <c r="BJ17" s="96">
        <f>(BC17*365)*(BE17*0.67)*(BG17/100)</f>
        <v>7.4465474999999985</v>
      </c>
      <c r="BK17" s="96">
        <f>((BC17*365)*(BE17*0.67)*(BH17/100))-BJ17</f>
        <v>8.9358570000000022</v>
      </c>
      <c r="BL17" s="96">
        <f>((BC17*365)*(BE17*0.67)*(BI17/100))-BJ17</f>
        <v>5.3189625000000005</v>
      </c>
      <c r="BM17" s="96">
        <f>(BD17*365)*(BF17*0.67)*(BG17/100)</f>
        <v>10.784655000000001</v>
      </c>
      <c r="BN17" s="96">
        <f>((BD17*365)*(BF17*0.67)*(BH17/100))-BM17</f>
        <v>12.941586000000004</v>
      </c>
      <c r="BO17" s="96">
        <f>((BD17*365)*(BF17*0.67)*(BI17/100))-BM17</f>
        <v>7.7033250000000031</v>
      </c>
      <c r="BP17">
        <f>(AD17*$BJ17)+(AD17*BK17)</f>
        <v>202121.33063805351</v>
      </c>
      <c r="BQ17">
        <f>(AE17*$BM17)+(AE17*$BN17)</f>
        <v>3159597.8122730237</v>
      </c>
      <c r="BR17">
        <f>(AF17*$BM17)+(AF17*$BN17)</f>
        <v>1115152.1690375376</v>
      </c>
      <c r="BS17">
        <f>(AG17*$BM17)+(AG17*$BN17)</f>
        <v>78989.945306825597</v>
      </c>
      <c r="BT17" s="94">
        <f>BP17+BQ17+BR17+BS17</f>
        <v>4555861.2572554396</v>
      </c>
      <c r="BU17">
        <f>AH17*$BJ17</f>
        <v>1107.7896403087816</v>
      </c>
      <c r="BV17">
        <f>AI17*$BM17</f>
        <v>17317.171388734994</v>
      </c>
      <c r="BW17">
        <f>AJ17*$BM17</f>
        <v>6111.9428430829385</v>
      </c>
      <c r="BX17">
        <f>AK17*$BM17</f>
        <v>432.92928471837496</v>
      </c>
      <c r="BY17" s="94">
        <f>BU17+BV17+BW17+BX17</f>
        <v>24969.833156845092</v>
      </c>
      <c r="BZ17" s="99">
        <f>BT17+BY17</f>
        <v>4580831.0904122852</v>
      </c>
      <c r="CA17" s="101">
        <f>BZ17*10^-9</f>
        <v>4.5808310904122858E-3</v>
      </c>
      <c r="CB17" s="100">
        <f>BZ17*10^-6</f>
        <v>4.5808310904122846</v>
      </c>
      <c r="CC17" s="103">
        <f>FE!$C$119</f>
        <v>0.55000000000000004</v>
      </c>
      <c r="CD17" s="103">
        <f>FE!$C$118</f>
        <v>1.57</v>
      </c>
      <c r="CE17">
        <f>((AD17*$P17)/1000)*$CC17*365</f>
        <v>837206.23706926999</v>
      </c>
      <c r="CF17">
        <f>((AE17*$Q17)/1000)*$CC17*365</f>
        <v>1937040.8051905984</v>
      </c>
      <c r="CG17">
        <f>((AF17*$R17)/1000)*$CD17*365</f>
        <v>159986.80219819685</v>
      </c>
      <c r="CH17">
        <f>((AG17*$P17)/1000)*$CC17*365</f>
        <v>225912.79412980322</v>
      </c>
      <c r="CI17">
        <f>((AH17*$P17)/1000)*$CC17*365</f>
        <v>10094.859682839297</v>
      </c>
      <c r="CJ17">
        <f>((AI17*$Q17)/1000)*$CC17*365</f>
        <v>23356.437473261729</v>
      </c>
      <c r="CK17">
        <f>((AJ17*$R17)/1000)*$CD17*365</f>
        <v>1929.0877776431746</v>
      </c>
      <c r="CL17">
        <f>((AK17*$P17)/1000)*$CD17*365</f>
        <v>7775.8096662332209</v>
      </c>
      <c r="CM17" s="103">
        <f>FE!$B$136</f>
        <v>5.0000000000000001E-3</v>
      </c>
      <c r="CN17" s="103">
        <f>FE!$B$135</f>
        <v>0.02</v>
      </c>
      <c r="CO17" s="103">
        <v>0.01</v>
      </c>
      <c r="CP17" s="103">
        <f>FE!$F$155</f>
        <v>40</v>
      </c>
      <c r="CQ17">
        <f>((CE17*$CM17)*(44/28)+(CE17-(CM17*CE17)*CN17))</f>
        <v>843700.56545110734</v>
      </c>
      <c r="CR17">
        <f t="shared" ref="CR17:CX17" si="146">((CF17*$CM17)*(44/28))+((CF17-(CF17*$CM17))*$CN17*(44/28))</f>
        <v>75793.639505957835</v>
      </c>
      <c r="CS17">
        <f t="shared" si="146"/>
        <v>6260.0550174408736</v>
      </c>
      <c r="CT17">
        <f t="shared" si="146"/>
        <v>8839.6449017361574</v>
      </c>
      <c r="CU17">
        <f t="shared" si="146"/>
        <v>394.99743816138334</v>
      </c>
      <c r="CV17">
        <f t="shared" si="146"/>
        <v>913.904031989484</v>
      </c>
      <c r="CW17">
        <f t="shared" si="146"/>
        <v>75.482448899495068</v>
      </c>
      <c r="CX17">
        <f t="shared" si="146"/>
        <v>304.25632394018277</v>
      </c>
      <c r="CY17" s="94">
        <f>CQ17+CR17+CS17+CT17</f>
        <v>934593.90487624228</v>
      </c>
      <c r="CZ17" s="94">
        <f>CU17+CV17+CW17+CX17</f>
        <v>1688.6402429905449</v>
      </c>
      <c r="DA17" s="99">
        <f>CY17+CZ17</f>
        <v>936282.54511923285</v>
      </c>
      <c r="DB17" s="101">
        <f>DA17*10^-9</f>
        <v>9.3628254511923293E-4</v>
      </c>
      <c r="DC17" s="100">
        <f>DA17*10^-6</f>
        <v>0.93628254511923281</v>
      </c>
      <c r="DD17">
        <f>CE17-((CE17*CM17)+(CE17*CN17))</f>
        <v>816276.08114253823</v>
      </c>
      <c r="DE17">
        <f>(CF17+CG17+CH17+CI17+CJ17+CK17+CL17)-(((CF17+CG17+CH17+CI17+CJ17+CK17+CL17)*CN17)+((CF17+CG17+CH17+CI17+CJ17+CK17+CL17)*CO17))</f>
        <v>2295113.6982350182</v>
      </c>
      <c r="DF17">
        <f>(DD17+DE17*(CP17/100))*0.01*(44/28)</f>
        <v>27253.624521145714</v>
      </c>
      <c r="DG17" s="101">
        <f>DF17*10^-9</f>
        <v>2.7253624521145717E-5</v>
      </c>
      <c r="DH17" s="100">
        <f>DF17*10^-6</f>
        <v>2.7253624521145714E-2</v>
      </c>
    </row>
    <row r="18" spans="1:112">
      <c r="A18">
        <v>2014</v>
      </c>
      <c r="B18" s="87">
        <f>VLOOKUP(A18,DA!$A$1:$I$6,4,TRUE)</f>
        <v>148293</v>
      </c>
      <c r="C18" s="87">
        <v>18.600000000000001</v>
      </c>
      <c r="D18" s="88">
        <f t="shared" ref="D18:D21" si="147">100%-(E18+F18+G18)</f>
        <v>6.2999999999999945E-2</v>
      </c>
      <c r="E18" s="88">
        <v>0.68</v>
      </c>
      <c r="F18" s="88">
        <v>0.24</v>
      </c>
      <c r="G18" s="88">
        <v>1.7000000000000001E-2</v>
      </c>
      <c r="H18" s="87">
        <f t="shared" ref="H18:H21" si="148">$B18*D18</f>
        <v>9342.4589999999916</v>
      </c>
      <c r="I18" s="87">
        <f t="shared" si="131"/>
        <v>100839.24</v>
      </c>
      <c r="J18" s="87">
        <f t="shared" si="132"/>
        <v>35590.32</v>
      </c>
      <c r="K18" s="87">
        <f t="shared" si="133"/>
        <v>2520.9810000000002</v>
      </c>
      <c r="L18" s="87">
        <f>VLOOKUP(A18,DA!$A$12:$I$18,2,TRUE)</f>
        <v>72387.31</v>
      </c>
      <c r="M18" s="87">
        <f t="shared" ref="M18:M21" si="149">L18*1000/P18</f>
        <v>214150.96739837879</v>
      </c>
      <c r="N18" s="87">
        <f t="shared" ref="N18:N21" si="150">M18/H18</f>
        <v>22.922334194710299</v>
      </c>
      <c r="O18" s="87">
        <f t="shared" ref="O18:O21" si="151">N18/365</f>
        <v>6.280091560194602E-2</v>
      </c>
      <c r="P18" s="87">
        <v>338.02</v>
      </c>
      <c r="Q18" s="107">
        <v>73.129000000000005</v>
      </c>
      <c r="R18" s="108">
        <v>5.94</v>
      </c>
      <c r="S18" s="87">
        <v>365</v>
      </c>
      <c r="T18" s="87">
        <v>222</v>
      </c>
      <c r="U18" s="87">
        <v>22.07</v>
      </c>
      <c r="V18" s="87">
        <v>365</v>
      </c>
      <c r="W18">
        <v>2193</v>
      </c>
      <c r="X18" s="87">
        <f>VLOOKUP(C18,DA!$A$30:$D$81,4,TRUE)</f>
        <v>58.654925958253187</v>
      </c>
      <c r="Y18" s="87">
        <f t="shared" ref="Y18:Y21" si="152">(((W18-(W18*0.1))*1000)/X18)/14.25</f>
        <v>2361.3577358613306</v>
      </c>
      <c r="Z18" s="87">
        <f t="shared" ref="Z18:Z21" si="153">$Y18*D18</f>
        <v>148.7655373592637</v>
      </c>
      <c r="AA18" s="87">
        <f t="shared" si="134"/>
        <v>1605.7232603857049</v>
      </c>
      <c r="AB18" s="87">
        <f t="shared" si="134"/>
        <v>566.72585660671928</v>
      </c>
      <c r="AC18" s="87">
        <f t="shared" si="134"/>
        <v>40.143081509642627</v>
      </c>
      <c r="AD18" s="87">
        <f t="shared" si="135"/>
        <v>9193.6934626407274</v>
      </c>
      <c r="AE18" s="87">
        <f t="shared" si="135"/>
        <v>99233.516739614293</v>
      </c>
      <c r="AF18" s="87">
        <f t="shared" si="135"/>
        <v>35023.594143393282</v>
      </c>
      <c r="AG18" s="87">
        <f t="shared" si="135"/>
        <v>2480.8379184903574</v>
      </c>
      <c r="AH18" s="87">
        <f t="shared" ref="AH18:AH21" si="154">Z18*S18/S18</f>
        <v>148.7655373592637</v>
      </c>
      <c r="AI18" s="87">
        <f t="shared" si="136"/>
        <v>1605.7232603857049</v>
      </c>
      <c r="AJ18" s="87">
        <f t="shared" si="137"/>
        <v>566.72585660671928</v>
      </c>
      <c r="AK18" s="87">
        <f t="shared" si="138"/>
        <v>40.143081509642627</v>
      </c>
      <c r="AL18" s="92">
        <f>FE!$C$25</f>
        <v>1.5</v>
      </c>
      <c r="AM18" s="92">
        <f>FE!$C$25</f>
        <v>1.5</v>
      </c>
      <c r="AN18" s="87">
        <f t="shared" ref="AN18:AN21" si="155">AD18*AL18</f>
        <v>13790.540193961091</v>
      </c>
      <c r="AO18" s="87">
        <f t="shared" ref="AO18:AO21" si="156">$AM18*AE18</f>
        <v>148850.27510942143</v>
      </c>
      <c r="AP18" s="87">
        <f t="shared" si="139"/>
        <v>52535.391215089927</v>
      </c>
      <c r="AQ18" s="87">
        <f t="shared" si="140"/>
        <v>3721.2568777355364</v>
      </c>
      <c r="AR18" s="87">
        <f t="shared" ref="AR18:AR21" si="157">AH18*AL18</f>
        <v>223.14830603889556</v>
      </c>
      <c r="AS18" s="87">
        <f t="shared" ref="AS18:AS21" si="158">AI18*$AM18</f>
        <v>2408.5848905785574</v>
      </c>
      <c r="AT18" s="87">
        <f t="shared" si="141"/>
        <v>850.08878491007886</v>
      </c>
      <c r="AU18" s="87">
        <f t="shared" si="142"/>
        <v>60.214622264463941</v>
      </c>
      <c r="AV18" s="87">
        <f t="shared" ref="AV18:AV21" si="159">AN18+AR18</f>
        <v>14013.688499999987</v>
      </c>
      <c r="AW18" s="87">
        <f t="shared" si="143"/>
        <v>151258.85999999999</v>
      </c>
      <c r="AX18" s="87">
        <f t="shared" si="144"/>
        <v>53385.48</v>
      </c>
      <c r="AY18" s="87">
        <f t="shared" si="145"/>
        <v>3781.4715000000001</v>
      </c>
      <c r="AZ18" s="90">
        <f t="shared" ref="AZ18:AZ21" si="160">AV18+AW18+AX18+AY18</f>
        <v>222439.5</v>
      </c>
      <c r="BA18" s="98">
        <f t="shared" ref="BA18:BA21" si="161">AZ18*10^-9</f>
        <v>2.2243950000000001E-4</v>
      </c>
      <c r="BB18" s="98">
        <f t="shared" ref="BB18:BB21" si="162">AZ18*10^-6</f>
        <v>0.22243949999999998</v>
      </c>
      <c r="BC18" s="87">
        <f>FE!$D$99</f>
        <v>0.3</v>
      </c>
      <c r="BD18" s="87">
        <f>FE!$D$63</f>
        <v>0.28000000000000003</v>
      </c>
      <c r="BE18" s="87">
        <f>FE!$C$99</f>
        <v>0.28999999999999998</v>
      </c>
      <c r="BF18" s="87">
        <f>FE!$C$63</f>
        <v>0.45</v>
      </c>
      <c r="BG18">
        <f>VLOOKUP($C18,FE!$Q$72:$Y$91,3,TRUE)</f>
        <v>35</v>
      </c>
      <c r="BH18">
        <f>VLOOKUP($C18,FE!$Q$72:$Y$91,2,TRUE)</f>
        <v>77</v>
      </c>
      <c r="BI18">
        <v>60</v>
      </c>
      <c r="BJ18" s="96">
        <f>(BC18*365)*(BE18*0.67)*(BG18/100)</f>
        <v>7.4465474999999985</v>
      </c>
      <c r="BK18" s="96">
        <f>((BC18*365)*(BE18*0.67)*(BH18/100))-BJ18</f>
        <v>8.9358570000000022</v>
      </c>
      <c r="BL18" s="96">
        <f>((BC18*365)*(BE18*0.67)*(BI18/100))-BJ18</f>
        <v>5.3189625000000005</v>
      </c>
      <c r="BM18" s="96">
        <f t="shared" ref="BM18:BM21" si="163">(BD18*365)*(BF18*0.67)*(BG18/100)</f>
        <v>10.784655000000001</v>
      </c>
      <c r="BN18" s="96">
        <f t="shared" ref="BN18:BN21" si="164">((BD18*365)*(BF18*0.67)*(BH18/100))-BM18</f>
        <v>12.941586000000004</v>
      </c>
      <c r="BO18" s="96">
        <f t="shared" ref="BO18:BO21" si="165">((BD18*365)*(BF18*0.67)*(BI18/100))-BM18</f>
        <v>7.7033250000000031</v>
      </c>
      <c r="BP18">
        <f t="shared" ref="BP18:BP21" si="166">(AD18*$BJ18)+(AD18*BK18)</f>
        <v>150614.80515398603</v>
      </c>
      <c r="BQ18">
        <f t="shared" ref="BQ18:BQ21" si="167">(AE18*$BM18)+(AE18*$BN18)</f>
        <v>2354438.3334416235</v>
      </c>
      <c r="BR18">
        <f t="shared" ref="BR18:BR21" si="168">(AF18*$BM18)+(AF18*$BN18)</f>
        <v>830978.23533233767</v>
      </c>
      <c r="BS18">
        <f t="shared" ref="BS18:BS21" si="169">(AG18*$BM18)+(AG18*$BN18)</f>
        <v>58860.958336040589</v>
      </c>
      <c r="BT18" s="94">
        <f t="shared" ref="BT18:BT21" si="170">BP18+BQ18+BR18+BS18</f>
        <v>3394892.3322639875</v>
      </c>
      <c r="BU18">
        <f>AH18*$BJ18</f>
        <v>1107.7896403087816</v>
      </c>
      <c r="BV18">
        <f t="shared" ref="BV18:BV21" si="171">AI18*$BM18</f>
        <v>17317.171388734994</v>
      </c>
      <c r="BW18">
        <f t="shared" ref="BW18:BW21" si="172">AJ18*$BM18</f>
        <v>6111.9428430829385</v>
      </c>
      <c r="BX18">
        <f t="shared" ref="BX18:BX21" si="173">AK18*$BM18</f>
        <v>432.92928471837496</v>
      </c>
      <c r="BY18" s="94">
        <f t="shared" ref="BY18:BY21" si="174">BU18+BV18+BW18+BX18</f>
        <v>24969.833156845092</v>
      </c>
      <c r="BZ18" s="99">
        <f t="shared" ref="BZ18:BZ21" si="175">BT18+BY18</f>
        <v>3419862.1654208326</v>
      </c>
      <c r="CA18" s="101">
        <f t="shared" ref="CA18:CA21" si="176">BZ18*10^-9</f>
        <v>3.4198621654208329E-3</v>
      </c>
      <c r="CB18" s="100">
        <f t="shared" ref="CB18:CB21" si="177">BZ18*10^-6</f>
        <v>3.4198621654208323</v>
      </c>
      <c r="CC18" s="103">
        <f>FE!$C$119</f>
        <v>0.55000000000000004</v>
      </c>
      <c r="CD18" s="103">
        <f>FE!$C$118</f>
        <v>1.57</v>
      </c>
      <c r="CE18">
        <f>((AD18*$P18)/1000)*$CC18*365</f>
        <v>623861.1920465451</v>
      </c>
      <c r="CF18">
        <f>((AE18*$Q18)/1000)*$CC18*365</f>
        <v>1456812.2050144894</v>
      </c>
      <c r="CG18">
        <f t="shared" ref="CG18:CG21" si="178">((AF18*$R18)/1000)*$CD18*365</f>
        <v>119217.40750579684</v>
      </c>
      <c r="CH18">
        <f t="shared" ref="CH18:CH21" si="179">((AG18*$P18)/1000)*$CC18*365</f>
        <v>168343.49626652821</v>
      </c>
      <c r="CI18">
        <f>((AH18*$P18)/1000)*$CC18*365</f>
        <v>10094.859682839297</v>
      </c>
      <c r="CJ18">
        <f>((AI18*$Q18)/1000)*$CC18*365</f>
        <v>23573.055963980802</v>
      </c>
      <c r="CK18">
        <f t="shared" ref="CK18:CK21" si="180">((AJ18*$R18)/1000)*$CD18*365</f>
        <v>1929.0877776431746</v>
      </c>
      <c r="CL18">
        <f t="shared" ref="CL18:CL21" si="181">((AK18*$P18)/1000)*$CD18*365</f>
        <v>7775.8096662332209</v>
      </c>
      <c r="CM18" s="103">
        <f>FE!$B$136</f>
        <v>5.0000000000000001E-3</v>
      </c>
      <c r="CN18" s="103">
        <f>FE!$B$135</f>
        <v>0.02</v>
      </c>
      <c r="CO18" s="103">
        <v>0.01</v>
      </c>
      <c r="CP18" s="103">
        <f>FE!$F$155</f>
        <v>40</v>
      </c>
      <c r="CQ18">
        <f t="shared" ref="CQ18:CQ21" si="182">((CE18*$CM18)*(44/28)+(CE18-(CM18*CE18)*CN18))</f>
        <v>628700.57243627752</v>
      </c>
      <c r="CR18">
        <f t="shared" ref="CR18:CR21" si="183">((CF18*$CM18)*(44/28))+((CF18-(CF18*$CM18))*$CN18*(44/28))</f>
        <v>57002.98042192409</v>
      </c>
      <c r="CS18">
        <f t="shared" ref="CS18:CS21" si="184">((CG18*$CM18)*(44/28))+((CG18-(CG18*$CM18))*$CN18*(44/28))</f>
        <v>4664.8068451196796</v>
      </c>
      <c r="CT18">
        <f t="shared" ref="CT18:CT21" si="185">((CH18*$CM18)*(44/28))+((CH18-(CH18*$CM18))*$CN18*(44/28))</f>
        <v>6587.040518200296</v>
      </c>
      <c r="CU18">
        <f t="shared" ref="CU18:CU21" si="186">((CI18*$CM18)*(44/28))+((CI18-(CI18*$CM18))*$CN18*(44/28))</f>
        <v>394.99743816138334</v>
      </c>
      <c r="CV18">
        <f t="shared" ref="CV18:CV21" si="187">((CJ18*$CM18)*(44/28))+((CJ18-(CJ18*$CM18))*$CN18*(44/28))</f>
        <v>922.38000407633467</v>
      </c>
      <c r="CW18">
        <f t="shared" ref="CW18:CW21" si="188">((CK18*$CM18)*(44/28))+((CK18-(CK18*$CM18))*$CN18*(44/28))</f>
        <v>75.482448899495068</v>
      </c>
      <c r="CX18">
        <f t="shared" ref="CX18:CX21" si="189">((CL18*$CM18)*(44/28))+((CL18-(CL18*$CM18))*$CN18*(44/28))</f>
        <v>304.25632394018277</v>
      </c>
      <c r="CY18" s="94">
        <f t="shared" ref="CY18:CY21" si="190">CQ18+CR18+CS18+CT18</f>
        <v>696955.4002215215</v>
      </c>
      <c r="CZ18" s="94">
        <f t="shared" ref="CZ18:CZ21" si="191">CU18+CV18+CW18+CX18</f>
        <v>1697.1162150773957</v>
      </c>
      <c r="DA18" s="99">
        <f t="shared" ref="DA18:DA21" si="192">CY18+CZ18</f>
        <v>698652.51643659885</v>
      </c>
      <c r="DB18" s="101">
        <f t="shared" ref="DB18:DB21" si="193">DA18*10^-9</f>
        <v>6.9865251643659891E-4</v>
      </c>
      <c r="DC18" s="100">
        <f t="shared" ref="DC18:DC21" si="194">DA18*10^-6</f>
        <v>0.69865251643659887</v>
      </c>
      <c r="DD18">
        <f t="shared" ref="DD18:DD21" si="195">CE18-((CE18*CM18)+(CE18*CN18))</f>
        <v>608264.66224538151</v>
      </c>
      <c r="DE18">
        <f t="shared" ref="DE18:DE21" si="196">(CF18+CG18+CH18+CI18+CJ18+CK18+CL18)-(((CF18+CG18+CH18+CI18+CJ18+CK18+CL18)*CN18)+((CF18+CG18+CH18+CI18+CJ18+CK18+CL18)*CO18))</f>
        <v>1734113.5442211856</v>
      </c>
      <c r="DF18">
        <f t="shared" ref="DF18:DF21" si="197">(DD18+DE18*(CP18/100))*0.01*(44/28)</f>
        <v>20458.586970389162</v>
      </c>
      <c r="DG18" s="101">
        <f t="shared" ref="DG18:DG21" si="198">DF18*10^-9</f>
        <v>2.0458586970389163E-5</v>
      </c>
      <c r="DH18" s="100">
        <f t="shared" ref="DH18:DH21" si="199">DF18*10^-6</f>
        <v>2.0458586970389162E-2</v>
      </c>
    </row>
    <row r="19" spans="1:112">
      <c r="A19">
        <v>2015</v>
      </c>
      <c r="B19" s="87">
        <f>VLOOKUP(A19,DA!$A$1:$I$6,4,TRUE)</f>
        <v>155439</v>
      </c>
      <c r="C19" s="87">
        <v>19</v>
      </c>
      <c r="D19" s="88">
        <f t="shared" si="147"/>
        <v>6.2999999999999945E-2</v>
      </c>
      <c r="E19" s="88">
        <v>0.68</v>
      </c>
      <c r="F19" s="88">
        <v>0.24</v>
      </c>
      <c r="G19" s="88">
        <v>1.7000000000000001E-2</v>
      </c>
      <c r="H19" s="87">
        <f t="shared" si="148"/>
        <v>9792.656999999992</v>
      </c>
      <c r="I19" s="87">
        <f t="shared" si="131"/>
        <v>105698.52</v>
      </c>
      <c r="J19" s="87">
        <f t="shared" si="132"/>
        <v>37305.360000000001</v>
      </c>
      <c r="K19" s="87">
        <f t="shared" si="133"/>
        <v>2642.4630000000002</v>
      </c>
      <c r="L19" s="87">
        <f>VLOOKUP(A19,DA!$A$12:$I$18,2,TRUE)</f>
        <v>71875.740000000005</v>
      </c>
      <c r="M19" s="87">
        <f t="shared" si="149"/>
        <v>212536.93299426339</v>
      </c>
      <c r="N19" s="87">
        <f t="shared" si="150"/>
        <v>21.703704417939235</v>
      </c>
      <c r="O19" s="87">
        <f t="shared" si="151"/>
        <v>5.946220388476503E-2</v>
      </c>
      <c r="P19" s="87">
        <v>338.18</v>
      </c>
      <c r="Q19" s="107">
        <v>73.215000000000003</v>
      </c>
      <c r="R19" s="108">
        <v>5.94</v>
      </c>
      <c r="S19" s="87">
        <v>365</v>
      </c>
      <c r="T19" s="87">
        <v>222</v>
      </c>
      <c r="U19" s="87">
        <v>22.07</v>
      </c>
      <c r="V19" s="87">
        <v>365</v>
      </c>
      <c r="W19">
        <v>2193</v>
      </c>
      <c r="X19" s="87">
        <f>VLOOKUP(C19,DA!$A$30:$D$81,4,TRUE)</f>
        <v>55.885224414240781</v>
      </c>
      <c r="Y19" s="87">
        <f t="shared" si="152"/>
        <v>2478.387885342383</v>
      </c>
      <c r="Z19" s="87">
        <f t="shared" si="153"/>
        <v>156.13843677656999</v>
      </c>
      <c r="AA19" s="87">
        <f t="shared" si="134"/>
        <v>1685.3037620328205</v>
      </c>
      <c r="AB19" s="87">
        <f t="shared" si="134"/>
        <v>594.8130924821719</v>
      </c>
      <c r="AC19" s="87">
        <f t="shared" si="134"/>
        <v>42.132594050820515</v>
      </c>
      <c r="AD19" s="87">
        <f t="shared" si="135"/>
        <v>9636.5185632234225</v>
      </c>
      <c r="AE19" s="87">
        <f t="shared" si="135"/>
        <v>104013.21623796718</v>
      </c>
      <c r="AF19" s="87">
        <f t="shared" si="135"/>
        <v>36710.546907517826</v>
      </c>
      <c r="AG19" s="87">
        <f t="shared" si="135"/>
        <v>2600.3304059491797</v>
      </c>
      <c r="AH19" s="87">
        <f t="shared" si="154"/>
        <v>156.13843677656999</v>
      </c>
      <c r="AI19" s="87">
        <f t="shared" si="136"/>
        <v>1685.3037620328205</v>
      </c>
      <c r="AJ19" s="87">
        <f t="shared" si="137"/>
        <v>594.8130924821719</v>
      </c>
      <c r="AK19" s="87">
        <f t="shared" si="138"/>
        <v>42.132594050820515</v>
      </c>
      <c r="AL19" s="92">
        <f>FE!$C$25</f>
        <v>1.5</v>
      </c>
      <c r="AM19" s="92">
        <f>FE!$C$25</f>
        <v>1.5</v>
      </c>
      <c r="AN19" s="87">
        <f t="shared" si="155"/>
        <v>14454.777844835135</v>
      </c>
      <c r="AO19" s="87">
        <f t="shared" si="156"/>
        <v>156019.82435695076</v>
      </c>
      <c r="AP19" s="87">
        <f t="shared" si="139"/>
        <v>55065.820361276739</v>
      </c>
      <c r="AQ19" s="87">
        <f t="shared" si="140"/>
        <v>3900.4956089237694</v>
      </c>
      <c r="AR19" s="87">
        <f t="shared" si="157"/>
        <v>234.207655164855</v>
      </c>
      <c r="AS19" s="87">
        <f t="shared" si="158"/>
        <v>2527.9556430492307</v>
      </c>
      <c r="AT19" s="87">
        <f t="shared" si="141"/>
        <v>892.21963872325784</v>
      </c>
      <c r="AU19" s="87">
        <f t="shared" si="142"/>
        <v>63.198891076230773</v>
      </c>
      <c r="AV19" s="87">
        <f t="shared" si="159"/>
        <v>14688.98549999999</v>
      </c>
      <c r="AW19" s="87">
        <f t="shared" si="143"/>
        <v>158547.78</v>
      </c>
      <c r="AX19" s="87">
        <f t="shared" si="144"/>
        <v>55958.039999999994</v>
      </c>
      <c r="AY19" s="87">
        <f t="shared" si="145"/>
        <v>3963.6945000000001</v>
      </c>
      <c r="AZ19" s="90">
        <f t="shared" si="160"/>
        <v>233158.49999999997</v>
      </c>
      <c r="BA19" s="98">
        <f t="shared" si="161"/>
        <v>2.3315849999999997E-4</v>
      </c>
      <c r="BB19" s="98">
        <f t="shared" si="162"/>
        <v>0.23315849999999996</v>
      </c>
      <c r="BC19" s="87">
        <f>FE!$D$99</f>
        <v>0.3</v>
      </c>
      <c r="BD19" s="87">
        <f>FE!$D$63</f>
        <v>0.28000000000000003</v>
      </c>
      <c r="BE19" s="87">
        <f>FE!$C$99</f>
        <v>0.28999999999999998</v>
      </c>
      <c r="BF19" s="87">
        <f>FE!$C$63</f>
        <v>0.45</v>
      </c>
      <c r="BG19">
        <f>VLOOKUP($C19,FE!$Q$72:$Y$91,3,TRUE)</f>
        <v>39</v>
      </c>
      <c r="BH19">
        <f>VLOOKUP($C19,FE!$Q$72:$Y$91,2,TRUE)</f>
        <v>77</v>
      </c>
      <c r="BI19">
        <v>60</v>
      </c>
      <c r="BJ19" s="96">
        <f>(BC19*365)*(BE19*0.67)*(BG19/100)</f>
        <v>8.2975814999999997</v>
      </c>
      <c r="BK19" s="96">
        <f>((BC19*365)*(BE19*0.67)*(BH19/100))-BJ19</f>
        <v>8.0848230000000001</v>
      </c>
      <c r="BL19" s="96">
        <f>((BC19*365)*(BE19*0.67)*(BI19/100))-BJ19</f>
        <v>4.4679284999999993</v>
      </c>
      <c r="BM19" s="96">
        <f t="shared" si="163"/>
        <v>12.017187000000002</v>
      </c>
      <c r="BN19" s="96">
        <f t="shared" si="164"/>
        <v>11.709054000000004</v>
      </c>
      <c r="BO19" s="96">
        <f t="shared" si="165"/>
        <v>6.4707930000000022</v>
      </c>
      <c r="BP19">
        <f t="shared" si="166"/>
        <v>157869.34507448494</v>
      </c>
      <c r="BQ19">
        <f t="shared" si="167"/>
        <v>2467842.6356471232</v>
      </c>
      <c r="BR19">
        <f t="shared" si="168"/>
        <v>871003.28316957282</v>
      </c>
      <c r="BS19">
        <f t="shared" si="169"/>
        <v>61696.065891178092</v>
      </c>
      <c r="BT19" s="94">
        <f t="shared" si="170"/>
        <v>3558411.3297823593</v>
      </c>
      <c r="BU19">
        <f>AH19*$BJ19</f>
        <v>1295.5714044361866</v>
      </c>
      <c r="BV19">
        <f t="shared" si="171"/>
        <v>20252.610460151907</v>
      </c>
      <c r="BW19">
        <f t="shared" si="172"/>
        <v>7147.9801624065549</v>
      </c>
      <c r="BX19">
        <f t="shared" si="173"/>
        <v>506.31526150379773</v>
      </c>
      <c r="BY19" s="94">
        <f t="shared" si="174"/>
        <v>29202.477288498445</v>
      </c>
      <c r="BZ19" s="99">
        <f t="shared" si="175"/>
        <v>3587613.8070708578</v>
      </c>
      <c r="CA19" s="101">
        <f t="shared" si="176"/>
        <v>3.587613807070858E-3</v>
      </c>
      <c r="CB19" s="100">
        <f t="shared" si="177"/>
        <v>3.5876138070708579</v>
      </c>
      <c r="CC19" s="103">
        <f>FE!$C$119</f>
        <v>0.55000000000000004</v>
      </c>
      <c r="CD19" s="103">
        <f>FE!$C$118</f>
        <v>1.57</v>
      </c>
      <c r="CE19">
        <f>((AD19*$P19)/1000)*$CC19*365</f>
        <v>654219.72792796267</v>
      </c>
      <c r="CF19">
        <f>((AE19*$Q19)/1000)*$CC19*365</f>
        <v>1528777.0210927008</v>
      </c>
      <c r="CG19">
        <f t="shared" si="178"/>
        <v>124959.65469779736</v>
      </c>
      <c r="CH19">
        <f t="shared" si="179"/>
        <v>176535.48213929165</v>
      </c>
      <c r="CI19">
        <f>((AH19*$P19)/1000)*$CC19*365</f>
        <v>10600.181482231914</v>
      </c>
      <c r="CJ19">
        <f>((AI19*$Q19)/1000)*$CC19*365</f>
        <v>24770.445123649519</v>
      </c>
      <c r="CK19">
        <f t="shared" si="180"/>
        <v>2024.6943973226375</v>
      </c>
      <c r="CL19">
        <f t="shared" si="181"/>
        <v>8165.045995981819</v>
      </c>
      <c r="CM19" s="103">
        <f>FE!$B$136</f>
        <v>5.0000000000000001E-3</v>
      </c>
      <c r="CN19" s="103">
        <f>FE!$B$135</f>
        <v>0.02</v>
      </c>
      <c r="CO19" s="103">
        <v>0.01</v>
      </c>
      <c r="CP19" s="103">
        <f>FE!$F$155</f>
        <v>40</v>
      </c>
      <c r="CQ19">
        <f t="shared" si="182"/>
        <v>659294.60381746094</v>
      </c>
      <c r="CR19">
        <f t="shared" si="183"/>
        <v>59818.860868184398</v>
      </c>
      <c r="CS19">
        <f t="shared" si="184"/>
        <v>4889.4927745323857</v>
      </c>
      <c r="CT19">
        <f t="shared" si="185"/>
        <v>6907.5812225645695</v>
      </c>
      <c r="CU19">
        <f t="shared" si="186"/>
        <v>414.76995828333162</v>
      </c>
      <c r="CV19">
        <f t="shared" si="187"/>
        <v>969.23213133822912</v>
      </c>
      <c r="CW19">
        <f t="shared" si="188"/>
        <v>79.223399346667208</v>
      </c>
      <c r="CX19">
        <f t="shared" si="189"/>
        <v>319.48658547134573</v>
      </c>
      <c r="CY19" s="94">
        <f t="shared" si="190"/>
        <v>730910.53868274228</v>
      </c>
      <c r="CZ19" s="94">
        <f t="shared" si="191"/>
        <v>1782.7120744395738</v>
      </c>
      <c r="DA19" s="99">
        <f t="shared" si="192"/>
        <v>732693.2507571819</v>
      </c>
      <c r="DB19" s="101">
        <f t="shared" si="193"/>
        <v>7.3269325075718192E-4</v>
      </c>
      <c r="DC19" s="100">
        <f t="shared" si="194"/>
        <v>0.73269325075718184</v>
      </c>
      <c r="DD19">
        <f t="shared" si="195"/>
        <v>637864.23472976359</v>
      </c>
      <c r="DE19">
        <f t="shared" si="196"/>
        <v>1819557.5491811063</v>
      </c>
      <c r="DF19">
        <f t="shared" si="197"/>
        <v>21460.79971203467</v>
      </c>
      <c r="DG19" s="101">
        <f t="shared" si="198"/>
        <v>2.1460799712034673E-5</v>
      </c>
      <c r="DH19" s="100">
        <f t="shared" si="199"/>
        <v>2.146079971203467E-2</v>
      </c>
    </row>
    <row r="20" spans="1:112">
      <c r="A20">
        <v>2016</v>
      </c>
      <c r="B20" s="87">
        <f>VLOOKUP(A20,DA!$A$1:$I$6,4,TRUE)</f>
        <v>147650</v>
      </c>
      <c r="C20" s="87">
        <v>19.100000000000001</v>
      </c>
      <c r="D20" s="88">
        <f t="shared" si="147"/>
        <v>6.2999999999999945E-2</v>
      </c>
      <c r="E20" s="88">
        <v>0.68</v>
      </c>
      <c r="F20" s="88">
        <v>0.24</v>
      </c>
      <c r="G20" s="88">
        <v>1.7000000000000001E-2</v>
      </c>
      <c r="H20" s="87">
        <f t="shared" si="148"/>
        <v>9301.9499999999916</v>
      </c>
      <c r="I20" s="87">
        <f t="shared" si="131"/>
        <v>100402</v>
      </c>
      <c r="J20" s="87">
        <f t="shared" si="132"/>
        <v>35436</v>
      </c>
      <c r="K20" s="87">
        <f t="shared" si="133"/>
        <v>2510.0500000000002</v>
      </c>
      <c r="L20" s="87">
        <f>VLOOKUP(A20,DA!$A$12:$I$18,2,TRUE)</f>
        <v>76049.97</v>
      </c>
      <c r="M20" s="87">
        <f t="shared" si="149"/>
        <v>189821.21106230034</v>
      </c>
      <c r="N20" s="87">
        <f t="shared" si="150"/>
        <v>20.406604105838078</v>
      </c>
      <c r="O20" s="87">
        <f t="shared" si="151"/>
        <v>5.5908504399556379E-2</v>
      </c>
      <c r="P20" s="87">
        <v>400.64</v>
      </c>
      <c r="Q20" s="107">
        <v>73.947999999999993</v>
      </c>
      <c r="R20" s="108">
        <v>5.94</v>
      </c>
      <c r="S20" s="87">
        <v>365</v>
      </c>
      <c r="T20" s="87">
        <v>222</v>
      </c>
      <c r="U20" s="87">
        <v>22.07</v>
      </c>
      <c r="V20" s="87">
        <v>365</v>
      </c>
      <c r="W20">
        <v>2193</v>
      </c>
      <c r="X20" s="87">
        <f>VLOOKUP(C20,DA!$A$30:$D$81,4,TRUE)</f>
        <v>55.885224414240781</v>
      </c>
      <c r="Y20" s="87">
        <f t="shared" si="152"/>
        <v>2478.387885342383</v>
      </c>
      <c r="Z20" s="87">
        <f t="shared" si="153"/>
        <v>156.13843677656999</v>
      </c>
      <c r="AA20" s="87">
        <f t="shared" si="134"/>
        <v>1685.3037620328205</v>
      </c>
      <c r="AB20" s="87">
        <f t="shared" si="134"/>
        <v>594.8130924821719</v>
      </c>
      <c r="AC20" s="87">
        <f t="shared" si="134"/>
        <v>42.132594050820515</v>
      </c>
      <c r="AD20" s="87">
        <f t="shared" si="135"/>
        <v>9145.8115632234221</v>
      </c>
      <c r="AE20" s="87">
        <f t="shared" si="135"/>
        <v>98716.696237967175</v>
      </c>
      <c r="AF20" s="87">
        <f t="shared" si="135"/>
        <v>34841.186907517826</v>
      </c>
      <c r="AG20" s="87">
        <f t="shared" si="135"/>
        <v>2467.9174059491797</v>
      </c>
      <c r="AH20" s="87">
        <f t="shared" si="154"/>
        <v>156.13843677656999</v>
      </c>
      <c r="AI20" s="87">
        <f t="shared" si="136"/>
        <v>1685.3037620328205</v>
      </c>
      <c r="AJ20" s="87">
        <f t="shared" si="137"/>
        <v>594.8130924821719</v>
      </c>
      <c r="AK20" s="87">
        <f t="shared" si="138"/>
        <v>42.132594050820515</v>
      </c>
      <c r="AL20" s="92">
        <f>FE!$C$25</f>
        <v>1.5</v>
      </c>
      <c r="AM20" s="92">
        <f>FE!$C$25</f>
        <v>1.5</v>
      </c>
      <c r="AN20" s="87">
        <f t="shared" si="155"/>
        <v>13718.717344835133</v>
      </c>
      <c r="AO20" s="87">
        <f t="shared" si="156"/>
        <v>148075.04435695076</v>
      </c>
      <c r="AP20" s="87">
        <f t="shared" si="139"/>
        <v>52261.780361276738</v>
      </c>
      <c r="AQ20" s="87">
        <f t="shared" si="140"/>
        <v>3701.8761089237696</v>
      </c>
      <c r="AR20" s="87">
        <f t="shared" si="157"/>
        <v>234.207655164855</v>
      </c>
      <c r="AS20" s="87">
        <f t="shared" si="158"/>
        <v>2527.9556430492307</v>
      </c>
      <c r="AT20" s="87">
        <f t="shared" si="141"/>
        <v>892.21963872325784</v>
      </c>
      <c r="AU20" s="87">
        <f t="shared" si="142"/>
        <v>63.198891076230773</v>
      </c>
      <c r="AV20" s="87">
        <f t="shared" si="159"/>
        <v>13952.924999999988</v>
      </c>
      <c r="AW20" s="87">
        <f t="shared" si="143"/>
        <v>150603</v>
      </c>
      <c r="AX20" s="87">
        <f t="shared" si="144"/>
        <v>53153.999999999993</v>
      </c>
      <c r="AY20" s="87">
        <f t="shared" si="145"/>
        <v>3765.0750000000003</v>
      </c>
      <c r="AZ20" s="90">
        <f t="shared" si="160"/>
        <v>221475</v>
      </c>
      <c r="BA20" s="98">
        <f t="shared" si="161"/>
        <v>2.21475E-4</v>
      </c>
      <c r="BB20" s="98">
        <f t="shared" si="162"/>
        <v>0.22147499999999998</v>
      </c>
      <c r="BC20" s="87">
        <f>FE!$D$99</f>
        <v>0.3</v>
      </c>
      <c r="BD20" s="87">
        <f>FE!$D$63</f>
        <v>0.28000000000000003</v>
      </c>
      <c r="BE20" s="87">
        <f>FE!$C$99</f>
        <v>0.28999999999999998</v>
      </c>
      <c r="BF20" s="87">
        <f>FE!$C$63</f>
        <v>0.45</v>
      </c>
      <c r="BG20">
        <f>VLOOKUP($C20,FE!$Q$72:$Y$91,3,TRUE)</f>
        <v>39</v>
      </c>
      <c r="BH20">
        <f>VLOOKUP($C20,FE!$Q$72:$Y$91,2,TRUE)</f>
        <v>77</v>
      </c>
      <c r="BI20">
        <v>60</v>
      </c>
      <c r="BJ20" s="96">
        <f>(BC20*365)*(BE20*0.67)*(BG20/100)</f>
        <v>8.2975814999999997</v>
      </c>
      <c r="BK20" s="96">
        <f>((BC20*365)*(BE20*0.67)*(BH20/100))-BJ20</f>
        <v>8.0848230000000001</v>
      </c>
      <c r="BL20" s="96">
        <f>((BC20*365)*(BE20*0.67)*(BI20/100))-BJ20</f>
        <v>4.4679284999999993</v>
      </c>
      <c r="BM20" s="96">
        <f t="shared" si="163"/>
        <v>12.017187000000002</v>
      </c>
      <c r="BN20" s="96">
        <f t="shared" si="164"/>
        <v>11.709054000000004</v>
      </c>
      <c r="BO20" s="96">
        <f t="shared" si="165"/>
        <v>6.4707930000000022</v>
      </c>
      <c r="BP20">
        <f t="shared" si="166"/>
        <v>149830.38450950343</v>
      </c>
      <c r="BQ20">
        <f t="shared" si="167"/>
        <v>2342176.125665803</v>
      </c>
      <c r="BR20">
        <f t="shared" si="168"/>
        <v>826650.39729381283</v>
      </c>
      <c r="BS20">
        <f t="shared" si="169"/>
        <v>58554.403141645089</v>
      </c>
      <c r="BT20" s="94">
        <f t="shared" si="170"/>
        <v>3377211.3106107642</v>
      </c>
      <c r="BU20">
        <f>AH20*$BJ20</f>
        <v>1295.5714044361866</v>
      </c>
      <c r="BV20">
        <f t="shared" si="171"/>
        <v>20252.610460151907</v>
      </c>
      <c r="BW20">
        <f t="shared" si="172"/>
        <v>7147.9801624065549</v>
      </c>
      <c r="BX20">
        <f t="shared" si="173"/>
        <v>506.31526150379773</v>
      </c>
      <c r="BY20" s="94">
        <f t="shared" si="174"/>
        <v>29202.477288498445</v>
      </c>
      <c r="BZ20" s="99">
        <f t="shared" si="175"/>
        <v>3406413.7878992627</v>
      </c>
      <c r="CA20" s="101">
        <f t="shared" si="176"/>
        <v>3.4064137878992628E-3</v>
      </c>
      <c r="CB20" s="100">
        <f t="shared" si="177"/>
        <v>3.4064137878992624</v>
      </c>
      <c r="CC20" s="103">
        <f>FE!$C$119</f>
        <v>0.55000000000000004</v>
      </c>
      <c r="CD20" s="103">
        <f>FE!$C$118</f>
        <v>1.57</v>
      </c>
      <c r="CE20">
        <f>((AD20*$P20)/1000)*$CC20*365</f>
        <v>735583.72239648376</v>
      </c>
      <c r="CF20">
        <f>((AE20*$Q20)/1000)*$CC20*365</f>
        <v>1465455.377371093</v>
      </c>
      <c r="CG20">
        <f t="shared" si="178"/>
        <v>118596.50841467736</v>
      </c>
      <c r="CH20">
        <f t="shared" si="179"/>
        <v>198490.84572603551</v>
      </c>
      <c r="CI20">
        <f>((AH20*$P20)/1000)*$CC20*365</f>
        <v>12557.977139515624</v>
      </c>
      <c r="CJ20">
        <f>((AI20*$Q20)/1000)*$CC20*365</f>
        <v>25018.437150906702</v>
      </c>
      <c r="CK20">
        <f t="shared" si="180"/>
        <v>2024.6943973226375</v>
      </c>
      <c r="CL20">
        <f t="shared" si="181"/>
        <v>9673.0854214624069</v>
      </c>
      <c r="CM20" s="103">
        <f>FE!$B$136</f>
        <v>5.0000000000000001E-3</v>
      </c>
      <c r="CN20" s="103">
        <f>FE!$B$135</f>
        <v>0.02</v>
      </c>
      <c r="CO20" s="103">
        <v>0.01</v>
      </c>
      <c r="CP20" s="103">
        <f>FE!$F$155</f>
        <v>40</v>
      </c>
      <c r="CQ20">
        <f t="shared" si="182"/>
        <v>741289.75041450211</v>
      </c>
      <c r="CR20">
        <f t="shared" si="183"/>
        <v>57341.175408848911</v>
      </c>
      <c r="CS20">
        <f t="shared" si="184"/>
        <v>4640.5119506828751</v>
      </c>
      <c r="CT20">
        <f t="shared" si="185"/>
        <v>7766.6632349087322</v>
      </c>
      <c r="CU20">
        <f t="shared" si="186"/>
        <v>491.37570550190418</v>
      </c>
      <c r="CV20">
        <f t="shared" si="187"/>
        <v>978.935705090478</v>
      </c>
      <c r="CW20">
        <f t="shared" si="188"/>
        <v>79.223399346667208</v>
      </c>
      <c r="CX20">
        <f t="shared" si="189"/>
        <v>378.49401384836477</v>
      </c>
      <c r="CY20" s="94">
        <f t="shared" si="190"/>
        <v>811038.10100894258</v>
      </c>
      <c r="CZ20" s="94">
        <f t="shared" si="191"/>
        <v>1928.0288237874142</v>
      </c>
      <c r="DA20" s="99">
        <f t="shared" si="192"/>
        <v>812966.12983273005</v>
      </c>
      <c r="DB20" s="101">
        <f t="shared" si="193"/>
        <v>8.1296612983273011E-4</v>
      </c>
      <c r="DC20" s="100">
        <f t="shared" si="194"/>
        <v>0.81296612983272998</v>
      </c>
      <c r="DD20">
        <f t="shared" si="195"/>
        <v>717194.12933657167</v>
      </c>
      <c r="DE20">
        <f t="shared" si="196"/>
        <v>1776862.4178523829</v>
      </c>
      <c r="DF20">
        <f t="shared" si="197"/>
        <v>22439.042944646819</v>
      </c>
      <c r="DG20" s="101">
        <f t="shared" si="198"/>
        <v>2.2439042944646821E-5</v>
      </c>
      <c r="DH20" s="100">
        <f t="shared" si="199"/>
        <v>2.2439042944646818E-2</v>
      </c>
    </row>
    <row r="21" spans="1:112">
      <c r="A21">
        <v>2017</v>
      </c>
      <c r="B21" s="87">
        <f>VLOOKUP(A21,DA!$A$1:$I$6,4,TRUE)</f>
        <v>152806</v>
      </c>
      <c r="C21" s="87">
        <v>19.399999999999999</v>
      </c>
      <c r="D21" s="88">
        <f t="shared" si="147"/>
        <v>6.2999999999999945E-2</v>
      </c>
      <c r="E21" s="88">
        <v>0.68</v>
      </c>
      <c r="F21" s="88">
        <v>0.24</v>
      </c>
      <c r="G21" s="88">
        <v>1.7000000000000001E-2</v>
      </c>
      <c r="H21" s="87">
        <f t="shared" si="148"/>
        <v>9626.7779999999912</v>
      </c>
      <c r="I21" s="87">
        <f t="shared" si="131"/>
        <v>103908.08</v>
      </c>
      <c r="J21" s="87">
        <f t="shared" si="132"/>
        <v>36673.439999999995</v>
      </c>
      <c r="K21" s="87">
        <f t="shared" si="133"/>
        <v>2597.7020000000002</v>
      </c>
      <c r="L21" s="87">
        <f>VLOOKUP(A21,DA!$A$12:$I$18,2,TRUE)</f>
        <v>78237.37</v>
      </c>
      <c r="M21" s="87">
        <f t="shared" si="149"/>
        <v>182116.78305400372</v>
      </c>
      <c r="N21" s="87">
        <f t="shared" si="150"/>
        <v>18.917729592809131</v>
      </c>
      <c r="O21" s="87">
        <f t="shared" si="151"/>
        <v>5.182939614468255E-2</v>
      </c>
      <c r="P21" s="87">
        <v>429.6</v>
      </c>
      <c r="Q21" s="107">
        <v>74.37</v>
      </c>
      <c r="R21" s="108">
        <v>5.94</v>
      </c>
      <c r="S21" s="87">
        <v>365</v>
      </c>
      <c r="T21" s="87">
        <v>222</v>
      </c>
      <c r="U21" s="87">
        <v>22.07</v>
      </c>
      <c r="V21" s="87">
        <v>365</v>
      </c>
      <c r="W21">
        <v>2193</v>
      </c>
      <c r="X21" s="87">
        <f>VLOOKUP(C21,DA!$A$30:$D$81,4,TRUE)</f>
        <v>55.885224414240781</v>
      </c>
      <c r="Y21" s="87">
        <f t="shared" si="152"/>
        <v>2478.387885342383</v>
      </c>
      <c r="Z21" s="87">
        <f t="shared" si="153"/>
        <v>156.13843677656999</v>
      </c>
      <c r="AA21" s="87">
        <f t="shared" si="134"/>
        <v>1685.3037620328205</v>
      </c>
      <c r="AB21" s="87">
        <f t="shared" si="134"/>
        <v>594.8130924821719</v>
      </c>
      <c r="AC21" s="87">
        <f t="shared" si="134"/>
        <v>42.132594050820515</v>
      </c>
      <c r="AD21" s="87">
        <f t="shared" si="135"/>
        <v>9470.6395632234216</v>
      </c>
      <c r="AE21" s="87">
        <f t="shared" si="135"/>
        <v>102222.77623796718</v>
      </c>
      <c r="AF21" s="87">
        <f t="shared" si="135"/>
        <v>36078.626907517821</v>
      </c>
      <c r="AG21" s="87">
        <f t="shared" si="135"/>
        <v>2555.5694059491798</v>
      </c>
      <c r="AH21" s="87">
        <f t="shared" si="154"/>
        <v>156.13843677656999</v>
      </c>
      <c r="AI21" s="87">
        <f t="shared" si="136"/>
        <v>1685.3037620328205</v>
      </c>
      <c r="AJ21" s="87">
        <f t="shared" si="137"/>
        <v>594.8130924821719</v>
      </c>
      <c r="AK21" s="87">
        <f t="shared" si="138"/>
        <v>42.132594050820515</v>
      </c>
      <c r="AL21" s="92">
        <f>FE!$C$25</f>
        <v>1.5</v>
      </c>
      <c r="AM21" s="92">
        <f>FE!$C$25</f>
        <v>1.5</v>
      </c>
      <c r="AN21" s="87">
        <f t="shared" si="155"/>
        <v>14205.959344835133</v>
      </c>
      <c r="AO21" s="87">
        <f t="shared" si="156"/>
        <v>153334.16435695076</v>
      </c>
      <c r="AP21" s="87">
        <f t="shared" si="139"/>
        <v>54117.940361276735</v>
      </c>
      <c r="AQ21" s="87">
        <f t="shared" si="140"/>
        <v>3833.3541089237697</v>
      </c>
      <c r="AR21" s="87">
        <f t="shared" si="157"/>
        <v>234.207655164855</v>
      </c>
      <c r="AS21" s="87">
        <f t="shared" si="158"/>
        <v>2527.9556430492307</v>
      </c>
      <c r="AT21" s="87">
        <f t="shared" si="141"/>
        <v>892.21963872325784</v>
      </c>
      <c r="AU21" s="87">
        <f t="shared" si="142"/>
        <v>63.198891076230773</v>
      </c>
      <c r="AV21" s="87">
        <f t="shared" si="159"/>
        <v>14440.166999999989</v>
      </c>
      <c r="AW21" s="87">
        <f t="shared" si="143"/>
        <v>155862.12</v>
      </c>
      <c r="AX21" s="87">
        <f t="shared" si="144"/>
        <v>55010.159999999989</v>
      </c>
      <c r="AY21" s="87">
        <f t="shared" si="145"/>
        <v>3896.5530000000003</v>
      </c>
      <c r="AZ21" s="90">
        <f t="shared" si="160"/>
        <v>229209</v>
      </c>
      <c r="BA21" s="98">
        <f t="shared" si="161"/>
        <v>2.2920900000000002E-4</v>
      </c>
      <c r="BB21" s="98">
        <f t="shared" si="162"/>
        <v>0.229209</v>
      </c>
      <c r="BC21" s="87">
        <f>FE!$D$99</f>
        <v>0.3</v>
      </c>
      <c r="BD21" s="87">
        <f>FE!$D$63</f>
        <v>0.28000000000000003</v>
      </c>
      <c r="BE21" s="87">
        <f>FE!$C$99</f>
        <v>0.28999999999999998</v>
      </c>
      <c r="BF21" s="87">
        <f>FE!$C$63</f>
        <v>0.45</v>
      </c>
      <c r="BG21">
        <f>VLOOKUP($C21,FE!$Q$72:$Y$91,3,TRUE)</f>
        <v>39</v>
      </c>
      <c r="BH21">
        <f>VLOOKUP($C21,FE!$Q$72:$Y$91,2,TRUE)</f>
        <v>77</v>
      </c>
      <c r="BI21">
        <v>60</v>
      </c>
      <c r="BJ21" s="96">
        <f>(BC21*365)*(BE21*0.67)*(BG21/100)</f>
        <v>8.2975814999999997</v>
      </c>
      <c r="BK21" s="96">
        <f>((BC21*365)*(BE21*0.67)*(BH21/100))-BJ21</f>
        <v>8.0848230000000001</v>
      </c>
      <c r="BL21" s="96">
        <f>((BC21*365)*(BE21*0.67)*(BI21/100))-BJ21</f>
        <v>4.4679284999999993</v>
      </c>
      <c r="BM21" s="96">
        <f t="shared" si="163"/>
        <v>12.017187000000002</v>
      </c>
      <c r="BN21" s="96">
        <f t="shared" si="164"/>
        <v>11.709054000000004</v>
      </c>
      <c r="BO21" s="96">
        <f t="shared" si="165"/>
        <v>6.4707930000000022</v>
      </c>
      <c r="BP21">
        <f t="shared" si="166"/>
        <v>155151.84819842942</v>
      </c>
      <c r="BQ21">
        <f t="shared" si="167"/>
        <v>2425362.2247110829</v>
      </c>
      <c r="BR21">
        <f t="shared" si="168"/>
        <v>856010.19695685268</v>
      </c>
      <c r="BS21">
        <f t="shared" si="169"/>
        <v>60634.055617777085</v>
      </c>
      <c r="BT21" s="94">
        <f t="shared" si="170"/>
        <v>3497158.3254841422</v>
      </c>
      <c r="BU21">
        <f>AH21*$BJ21</f>
        <v>1295.5714044361866</v>
      </c>
      <c r="BV21">
        <f t="shared" si="171"/>
        <v>20252.610460151907</v>
      </c>
      <c r="BW21">
        <f t="shared" si="172"/>
        <v>7147.9801624065549</v>
      </c>
      <c r="BX21">
        <f t="shared" si="173"/>
        <v>506.31526150379773</v>
      </c>
      <c r="BY21" s="94">
        <f t="shared" si="174"/>
        <v>29202.477288498445</v>
      </c>
      <c r="BZ21" s="99">
        <f t="shared" si="175"/>
        <v>3526360.8027726407</v>
      </c>
      <c r="CA21" s="101">
        <f t="shared" si="176"/>
        <v>3.526360802772641E-3</v>
      </c>
      <c r="CB21" s="100">
        <f t="shared" si="177"/>
        <v>3.5263608027726407</v>
      </c>
      <c r="CC21" s="103">
        <f>FE!$C$119</f>
        <v>0.55000000000000004</v>
      </c>
      <c r="CD21" s="103">
        <f>FE!$C$118</f>
        <v>1.57</v>
      </c>
      <c r="CE21">
        <f>((AD21*$P21)/1000)*$CC21*365</f>
        <v>816768.79133942712</v>
      </c>
      <c r="CF21">
        <f>((AE21*$Q21)/1000)*$CC21*365</f>
        <v>1526163.3046651371</v>
      </c>
      <c r="CG21">
        <f t="shared" si="178"/>
        <v>122808.65146715734</v>
      </c>
      <c r="CH21">
        <f t="shared" si="179"/>
        <v>220397.9278217504</v>
      </c>
      <c r="CI21">
        <f>((AH21*$P21)/1000)*$CC21*365</f>
        <v>13465.722292172306</v>
      </c>
      <c r="CJ21">
        <f>((AI21*$Q21)/1000)*$CC21*365</f>
        <v>25161.210187062959</v>
      </c>
      <c r="CK21">
        <f t="shared" si="180"/>
        <v>2024.6943973226375</v>
      </c>
      <c r="CL21">
        <f t="shared" si="181"/>
        <v>10372.298065745432</v>
      </c>
      <c r="CM21" s="103">
        <f>FE!$B$136</f>
        <v>5.0000000000000001E-3</v>
      </c>
      <c r="CN21" s="103">
        <f>FE!$B$135</f>
        <v>0.02</v>
      </c>
      <c r="CO21" s="103">
        <v>0.01</v>
      </c>
      <c r="CP21" s="103">
        <f>FE!$F$155</f>
        <v>40</v>
      </c>
      <c r="CQ21">
        <f t="shared" si="182"/>
        <v>823104.58353510301</v>
      </c>
      <c r="CR21">
        <f t="shared" si="183"/>
        <v>59716.589878254439</v>
      </c>
      <c r="CS21">
        <f t="shared" si="184"/>
        <v>4805.3270909792</v>
      </c>
      <c r="CT21">
        <f t="shared" si="185"/>
        <v>8623.856061482491</v>
      </c>
      <c r="CU21">
        <f t="shared" si="186"/>
        <v>526.89447654657067</v>
      </c>
      <c r="CV21">
        <f t="shared" si="187"/>
        <v>984.52221003379213</v>
      </c>
      <c r="CW21">
        <f t="shared" si="188"/>
        <v>79.223399346667208</v>
      </c>
      <c r="CX21">
        <f t="shared" si="189"/>
        <v>405.85320574395337</v>
      </c>
      <c r="CY21" s="94">
        <f t="shared" si="190"/>
        <v>896250.35656581912</v>
      </c>
      <c r="CZ21" s="94">
        <f t="shared" si="191"/>
        <v>1996.4932916709834</v>
      </c>
      <c r="DA21" s="99">
        <f t="shared" si="192"/>
        <v>898246.84985749016</v>
      </c>
      <c r="DB21" s="101">
        <f t="shared" si="193"/>
        <v>8.9824684985749027E-4</v>
      </c>
      <c r="DC21" s="100">
        <f t="shared" si="194"/>
        <v>0.89824684985749015</v>
      </c>
      <c r="DD21">
        <f t="shared" si="195"/>
        <v>796349.57155594148</v>
      </c>
      <c r="DE21">
        <f t="shared" si="196"/>
        <v>1862781.9946294576</v>
      </c>
      <c r="DF21">
        <f t="shared" si="197"/>
        <v>24222.980090692818</v>
      </c>
      <c r="DG21" s="101">
        <f t="shared" si="198"/>
        <v>2.4222980090692817E-5</v>
      </c>
      <c r="DH21" s="100">
        <f t="shared" si="199"/>
        <v>2.4222980090692816E-2</v>
      </c>
    </row>
    <row r="22" spans="1:112">
      <c r="A22" t="s">
        <v>68</v>
      </c>
    </row>
    <row r="23" spans="1:112" ht="75">
      <c r="A23" t="s">
        <v>11</v>
      </c>
      <c r="B23" t="s">
        <v>16</v>
      </c>
      <c r="C23" t="s">
        <v>28</v>
      </c>
      <c r="D23" t="s">
        <v>26</v>
      </c>
      <c r="E23" t="s">
        <v>253</v>
      </c>
      <c r="F23" s="91" t="s">
        <v>261</v>
      </c>
      <c r="G23" s="57" t="s">
        <v>391</v>
      </c>
      <c r="H23" s="89" t="s">
        <v>271</v>
      </c>
      <c r="I23" s="97" t="s">
        <v>293</v>
      </c>
      <c r="J23" s="97" t="s">
        <v>292</v>
      </c>
      <c r="K23" s="86" t="s">
        <v>273</v>
      </c>
      <c r="L23" s="57" t="s">
        <v>274</v>
      </c>
      <c r="M23" s="57" t="s">
        <v>335</v>
      </c>
      <c r="N23" s="91" t="s">
        <v>338</v>
      </c>
      <c r="O23" s="86" t="s">
        <v>392</v>
      </c>
      <c r="P23" s="89" t="s">
        <v>291</v>
      </c>
      <c r="Q23" s="97" t="s">
        <v>294</v>
      </c>
      <c r="R23" s="97" t="s">
        <v>295</v>
      </c>
      <c r="S23" s="102" t="s">
        <v>296</v>
      </c>
      <c r="T23" s="86" t="s">
        <v>297</v>
      </c>
      <c r="U23" s="104" t="s">
        <v>344</v>
      </c>
      <c r="V23" s="86" t="s">
        <v>393</v>
      </c>
      <c r="W23" s="93" t="s">
        <v>394</v>
      </c>
      <c r="X23" s="105" t="s">
        <v>318</v>
      </c>
      <c r="Y23" s="97" t="s">
        <v>428</v>
      </c>
      <c r="Z23" s="97" t="s">
        <v>424</v>
      </c>
      <c r="AA23" t="s">
        <v>395</v>
      </c>
      <c r="AB23" t="s">
        <v>427</v>
      </c>
      <c r="AC23" s="97" t="s">
        <v>428</v>
      </c>
      <c r="AD23" s="97" t="s">
        <v>424</v>
      </c>
    </row>
    <row r="24" spans="1:112">
      <c r="A24">
        <v>2013</v>
      </c>
      <c r="B24" s="87">
        <f>VLOOKUP(A24,DA!$A$1:$I$6,5,TRUE)</f>
        <v>185186</v>
      </c>
      <c r="C24" s="87">
        <v>18.3</v>
      </c>
      <c r="D24" s="107">
        <v>20.036999999999999</v>
      </c>
      <c r="E24" s="87">
        <f>B24*365/365</f>
        <v>185186</v>
      </c>
      <c r="F24" s="92">
        <f>FE!$D$21</f>
        <v>5</v>
      </c>
      <c r="G24" s="87">
        <f>E24*F24</f>
        <v>925930</v>
      </c>
      <c r="H24" s="90">
        <f>G24</f>
        <v>925930</v>
      </c>
      <c r="I24" s="98">
        <f>H24*10^-9</f>
        <v>9.2593000000000005E-4</v>
      </c>
      <c r="J24" s="98">
        <f>H24*10^-6</f>
        <v>0.92592999999999992</v>
      </c>
      <c r="K24" s="87">
        <v>0.32</v>
      </c>
      <c r="L24">
        <v>0.13</v>
      </c>
      <c r="M24">
        <f>VLOOKUP(C24,FE!$Q$72:$Y$91,3,TRUE)</f>
        <v>35</v>
      </c>
      <c r="N24" s="96">
        <f>(K24*365)*(L24*0.67)*(M24/100)</f>
        <v>3.5606480000000005</v>
      </c>
      <c r="O24">
        <f>(E24*$N24)</f>
        <v>659382.16052800009</v>
      </c>
      <c r="P24" s="99">
        <f>O24</f>
        <v>659382.16052800009</v>
      </c>
      <c r="Q24" s="101">
        <f>P24*10^-9</f>
        <v>6.593821605280001E-4</v>
      </c>
      <c r="R24" s="100">
        <f>P24*10^-6</f>
        <v>0.65938216052800003</v>
      </c>
      <c r="S24" s="103">
        <v>1.17</v>
      </c>
      <c r="T24">
        <f>((E24*$D24)/1000)*$S24*365</f>
        <v>1584599.7222080997</v>
      </c>
      <c r="U24" s="103">
        <f>FE!$B$132</f>
        <v>0.02</v>
      </c>
      <c r="V24">
        <f>((T24*$U24)*(44/28))</f>
        <v>49801.705555111708</v>
      </c>
      <c r="W24" s="94">
        <f>V24</f>
        <v>49801.705555111708</v>
      </c>
      <c r="X24" s="99">
        <f>W24</f>
        <v>49801.705555111708</v>
      </c>
      <c r="Y24" s="101">
        <f>X24*10^-9</f>
        <v>4.980170555511171E-5</v>
      </c>
      <c r="Z24" s="100">
        <f>X24*10^-6</f>
        <v>4.9801705555111708E-2</v>
      </c>
      <c r="AA24">
        <f>T24-(T24*U24)</f>
        <v>1552907.7277639378</v>
      </c>
      <c r="AB24">
        <f>AA24*0.2*0.01</f>
        <v>3105.8154555278757</v>
      </c>
      <c r="AC24" s="101">
        <f>AB24*10^-9</f>
        <v>3.1058154555278758E-6</v>
      </c>
      <c r="AD24" s="100">
        <f>AB24*10^-6</f>
        <v>3.1058154555278755E-3</v>
      </c>
    </row>
    <row r="25" spans="1:112">
      <c r="A25">
        <v>2014</v>
      </c>
      <c r="B25" s="87">
        <f>VLOOKUP(A25,DA!$A$1:$I$6,5,TRUE)</f>
        <v>190154</v>
      </c>
      <c r="C25" s="87">
        <v>18.600000000000001</v>
      </c>
      <c r="D25" s="107">
        <v>20.844999999999999</v>
      </c>
      <c r="E25" s="87">
        <f t="shared" ref="E25:E28" si="200">B25*365/365</f>
        <v>190154</v>
      </c>
      <c r="F25" s="92">
        <f>FE!$D$21</f>
        <v>5</v>
      </c>
      <c r="G25" s="87">
        <f>E25*F25</f>
        <v>950770</v>
      </c>
      <c r="H25" s="90">
        <f t="shared" ref="H25:H28" si="201">G25</f>
        <v>950770</v>
      </c>
      <c r="I25" s="98">
        <f t="shared" ref="I25:I28" si="202">H25*10^-9</f>
        <v>9.5077000000000009E-4</v>
      </c>
      <c r="J25" s="98">
        <f t="shared" ref="J25:J28" si="203">H25*10^-6</f>
        <v>0.95077</v>
      </c>
      <c r="K25" s="87">
        <v>0.32</v>
      </c>
      <c r="L25">
        <v>0.13</v>
      </c>
      <c r="M25">
        <f>VLOOKUP(C25,FE!$Q$72:$Y$91,3,TRUE)</f>
        <v>35</v>
      </c>
      <c r="N25" s="96">
        <f>(K25*365)*(L25*0.67)*(M25/100)</f>
        <v>3.5606480000000005</v>
      </c>
      <c r="O25">
        <f>(E25*$N25)</f>
        <v>677071.45979200013</v>
      </c>
      <c r="P25" s="99">
        <f t="shared" ref="P25:P28" si="204">O25</f>
        <v>677071.45979200013</v>
      </c>
      <c r="Q25" s="101">
        <f t="shared" ref="Q25:Q28" si="205">P25*10^-9</f>
        <v>6.7707145979200016E-4</v>
      </c>
      <c r="R25" s="100">
        <f t="shared" ref="R25:R28" si="206">P25*10^-6</f>
        <v>0.67707145979200012</v>
      </c>
      <c r="S25" s="103">
        <v>1.17</v>
      </c>
      <c r="T25">
        <f>((E25*$D25)/1000)*$S25*365</f>
        <v>1692723.7635164997</v>
      </c>
      <c r="U25" s="103">
        <f>FE!$B$132</f>
        <v>0.02</v>
      </c>
      <c r="V25">
        <f>((T25*$U25)*(44/28))</f>
        <v>53199.889710518568</v>
      </c>
      <c r="W25" s="94">
        <f t="shared" ref="W25:W28" si="207">V25</f>
        <v>53199.889710518568</v>
      </c>
      <c r="X25" s="99">
        <f t="shared" ref="X25:X28" si="208">W25</f>
        <v>53199.889710518568</v>
      </c>
      <c r="Y25" s="101">
        <f t="shared" ref="Y25:Y28" si="209">X25*10^-9</f>
        <v>5.3199889710518574E-5</v>
      </c>
      <c r="Z25" s="100">
        <f t="shared" ref="Z25:Z28" si="210">X25*10^-6</f>
        <v>5.3199889710518568E-2</v>
      </c>
      <c r="AA25">
        <f t="shared" ref="AA25:AA28" si="211">T25-(T25*U25)</f>
        <v>1658869.2882461697</v>
      </c>
      <c r="AB25">
        <f t="shared" ref="AB25:AB77" si="212">AA25*0.2*0.01</f>
        <v>3317.7385764923397</v>
      </c>
      <c r="AC25" s="101">
        <f t="shared" ref="AC25:AC28" si="213">AB25*10^-9</f>
        <v>3.3177385764923398E-6</v>
      </c>
      <c r="AD25" s="100">
        <f t="shared" ref="AD25:AD28" si="214">AB25*10^-6</f>
        <v>3.3177385764923397E-3</v>
      </c>
    </row>
    <row r="26" spans="1:112">
      <c r="A26">
        <v>2015</v>
      </c>
      <c r="B26" s="87">
        <f>VLOOKUP(A26,DA!$A$1:$I$6,5,TRUE)</f>
        <v>185902</v>
      </c>
      <c r="C26" s="87">
        <v>19</v>
      </c>
      <c r="D26" s="107">
        <v>20.526</v>
      </c>
      <c r="E26" s="87">
        <f t="shared" si="200"/>
        <v>185902</v>
      </c>
      <c r="F26" s="92">
        <f>FE!$D$21</f>
        <v>5</v>
      </c>
      <c r="G26" s="87">
        <f>E26*F26</f>
        <v>929510</v>
      </c>
      <c r="H26" s="90">
        <f t="shared" si="201"/>
        <v>929510</v>
      </c>
      <c r="I26" s="98">
        <f t="shared" si="202"/>
        <v>9.2951000000000004E-4</v>
      </c>
      <c r="J26" s="98">
        <f t="shared" si="203"/>
        <v>0.92950999999999995</v>
      </c>
      <c r="K26" s="87">
        <v>0.32</v>
      </c>
      <c r="L26">
        <v>0.13</v>
      </c>
      <c r="M26">
        <f>VLOOKUP(C26,FE!$Q$72:$Y$91,3,TRUE)</f>
        <v>39</v>
      </c>
      <c r="N26" s="96">
        <f>(K26*365)*(L26*0.67)*(M26/100)</f>
        <v>3.9675792000000007</v>
      </c>
      <c r="O26">
        <f>(E26*$N26)</f>
        <v>737580.90843840013</v>
      </c>
      <c r="P26" s="99">
        <f t="shared" si="204"/>
        <v>737580.90843840013</v>
      </c>
      <c r="Q26" s="101">
        <f t="shared" si="205"/>
        <v>7.3758090843840018E-4</v>
      </c>
      <c r="R26" s="100">
        <f t="shared" si="206"/>
        <v>0.73758090843840007</v>
      </c>
      <c r="S26" s="103">
        <v>1.17</v>
      </c>
      <c r="T26">
        <f>((E26*$D26)/1000)*$S26*365</f>
        <v>1629547.8322265998</v>
      </c>
      <c r="U26" s="103">
        <f>FE!$B$132</f>
        <v>0.02</v>
      </c>
      <c r="V26">
        <f>((T26*$U26)*(44/28))</f>
        <v>51214.360441407422</v>
      </c>
      <c r="W26" s="94">
        <f t="shared" si="207"/>
        <v>51214.360441407422</v>
      </c>
      <c r="X26" s="99">
        <f t="shared" si="208"/>
        <v>51214.360441407422</v>
      </c>
      <c r="Y26" s="101">
        <f t="shared" si="209"/>
        <v>5.1214360441407422E-5</v>
      </c>
      <c r="Z26" s="100">
        <f t="shared" si="210"/>
        <v>5.1214360441407418E-2</v>
      </c>
      <c r="AA26">
        <f t="shared" si="211"/>
        <v>1596956.8755820678</v>
      </c>
      <c r="AB26">
        <f t="shared" si="212"/>
        <v>3193.9137511641356</v>
      </c>
      <c r="AC26" s="101">
        <f t="shared" si="213"/>
        <v>3.193913751164136E-6</v>
      </c>
      <c r="AD26" s="100">
        <f t="shared" si="214"/>
        <v>3.1939137511641357E-3</v>
      </c>
    </row>
    <row r="27" spans="1:112">
      <c r="A27">
        <v>2016</v>
      </c>
      <c r="B27" s="87">
        <f>VLOOKUP(A27,DA!$A$1:$I$6,5,TRUE)</f>
        <v>185741</v>
      </c>
      <c r="C27" s="87">
        <v>19.100000000000001</v>
      </c>
      <c r="D27" s="107">
        <v>20.747</v>
      </c>
      <c r="E27" s="87">
        <f t="shared" si="200"/>
        <v>185741</v>
      </c>
      <c r="F27" s="92">
        <f>FE!$D$21</f>
        <v>5</v>
      </c>
      <c r="G27" s="87">
        <f>E27*F27</f>
        <v>928705</v>
      </c>
      <c r="H27" s="90">
        <f t="shared" si="201"/>
        <v>928705</v>
      </c>
      <c r="I27" s="98">
        <f t="shared" si="202"/>
        <v>9.2870500000000005E-4</v>
      </c>
      <c r="J27" s="98">
        <f t="shared" si="203"/>
        <v>0.928705</v>
      </c>
      <c r="K27" s="87">
        <v>0.32</v>
      </c>
      <c r="L27">
        <v>0.13</v>
      </c>
      <c r="M27">
        <f>VLOOKUP(C27,FE!$Q$72:$Y$91,3,TRUE)</f>
        <v>39</v>
      </c>
      <c r="N27" s="96">
        <f>(K27*365)*(L27*0.67)*(M27/100)</f>
        <v>3.9675792000000007</v>
      </c>
      <c r="O27">
        <f>(E27*$N27)</f>
        <v>736942.12818720017</v>
      </c>
      <c r="P27" s="99">
        <f t="shared" si="204"/>
        <v>736942.12818720017</v>
      </c>
      <c r="Q27" s="101">
        <f t="shared" si="205"/>
        <v>7.369421281872002E-4</v>
      </c>
      <c r="R27" s="100">
        <f t="shared" si="206"/>
        <v>0.73694212818720017</v>
      </c>
      <c r="S27" s="103">
        <v>1.17</v>
      </c>
      <c r="T27">
        <f>((E27*$D27)/1000)*$S27*365</f>
        <v>1645666.4394553499</v>
      </c>
      <c r="U27" s="103">
        <f>FE!$B$132</f>
        <v>0.02</v>
      </c>
      <c r="V27">
        <f>((T27*$U27)*(44/28))</f>
        <v>51720.945240025285</v>
      </c>
      <c r="W27" s="94">
        <f t="shared" si="207"/>
        <v>51720.945240025285</v>
      </c>
      <c r="X27" s="99">
        <f t="shared" si="208"/>
        <v>51720.945240025285</v>
      </c>
      <c r="Y27" s="101">
        <f t="shared" si="209"/>
        <v>5.1720945240025289E-5</v>
      </c>
      <c r="Z27" s="100">
        <f t="shared" si="210"/>
        <v>5.1720945240025282E-2</v>
      </c>
      <c r="AA27">
        <f t="shared" si="211"/>
        <v>1612753.1106662429</v>
      </c>
      <c r="AB27">
        <f t="shared" si="212"/>
        <v>3225.5062213324859</v>
      </c>
      <c r="AC27" s="101">
        <f t="shared" si="213"/>
        <v>3.2255062213324861E-6</v>
      </c>
      <c r="AD27" s="100">
        <f t="shared" si="214"/>
        <v>3.2255062213324857E-3</v>
      </c>
    </row>
    <row r="28" spans="1:112">
      <c r="A28">
        <v>2017</v>
      </c>
      <c r="B28" s="87">
        <f>VLOOKUP(A28,DA!$A$1:$I$6,5,TRUE)</f>
        <v>187575</v>
      </c>
      <c r="C28" s="87">
        <v>19.399999999999999</v>
      </c>
      <c r="D28" s="107">
        <v>20.859000000000002</v>
      </c>
      <c r="E28" s="87">
        <f t="shared" si="200"/>
        <v>187575</v>
      </c>
      <c r="F28" s="92">
        <f>FE!$D$21</f>
        <v>5</v>
      </c>
      <c r="G28" s="87">
        <f>E28*F28</f>
        <v>937875</v>
      </c>
      <c r="H28" s="90">
        <f t="shared" si="201"/>
        <v>937875</v>
      </c>
      <c r="I28" s="98">
        <f t="shared" si="202"/>
        <v>9.3787500000000002E-4</v>
      </c>
      <c r="J28" s="98">
        <f t="shared" si="203"/>
        <v>0.9378749999999999</v>
      </c>
      <c r="K28" s="87">
        <v>0.32</v>
      </c>
      <c r="L28">
        <v>0.13</v>
      </c>
      <c r="M28">
        <f>VLOOKUP(C28,FE!$Q$72:$Y$91,3,TRUE)</f>
        <v>39</v>
      </c>
      <c r="N28" s="96">
        <f>(K28*365)*(L28*0.67)*(M28/100)</f>
        <v>3.9675792000000007</v>
      </c>
      <c r="O28">
        <f>(E28*$N28)</f>
        <v>744218.66844000015</v>
      </c>
      <c r="P28" s="99">
        <f t="shared" si="204"/>
        <v>744218.66844000015</v>
      </c>
      <c r="Q28" s="101">
        <f t="shared" si="205"/>
        <v>7.4421866844000023E-4</v>
      </c>
      <c r="R28" s="100">
        <f t="shared" si="206"/>
        <v>0.74421866844000018</v>
      </c>
      <c r="S28" s="103">
        <v>1.17</v>
      </c>
      <c r="T28">
        <f>((E28*$D28)/1000)*$S28*365</f>
        <v>1670887.3283212499</v>
      </c>
      <c r="U28" s="103">
        <f>FE!$B$132</f>
        <v>0.02</v>
      </c>
      <c r="V28">
        <f>((T28*$U28)*(44/28))</f>
        <v>52513.601747239278</v>
      </c>
      <c r="W28" s="94">
        <f t="shared" si="207"/>
        <v>52513.601747239278</v>
      </c>
      <c r="X28" s="99">
        <f t="shared" si="208"/>
        <v>52513.601747239278</v>
      </c>
      <c r="Y28" s="101">
        <f t="shared" si="209"/>
        <v>5.251360174723928E-5</v>
      </c>
      <c r="Z28" s="100">
        <f t="shared" si="210"/>
        <v>5.2513601747239277E-2</v>
      </c>
      <c r="AA28">
        <f t="shared" si="211"/>
        <v>1637469.5817548248</v>
      </c>
      <c r="AB28">
        <f t="shared" si="212"/>
        <v>3274.9391635096499</v>
      </c>
      <c r="AC28" s="101">
        <f t="shared" si="213"/>
        <v>3.27493916350965E-6</v>
      </c>
      <c r="AD28" s="100">
        <f t="shared" si="214"/>
        <v>3.27493916350965E-3</v>
      </c>
    </row>
    <row r="29" spans="1:112">
      <c r="A29" t="s">
        <v>72</v>
      </c>
    </row>
    <row r="30" spans="1:112" ht="75">
      <c r="A30" t="s">
        <v>11</v>
      </c>
      <c r="B30" t="s">
        <v>16</v>
      </c>
      <c r="C30" t="s">
        <v>28</v>
      </c>
      <c r="D30" t="s">
        <v>26</v>
      </c>
      <c r="E30" t="s">
        <v>253</v>
      </c>
      <c r="F30" s="91" t="s">
        <v>261</v>
      </c>
      <c r="G30" s="57" t="s">
        <v>391</v>
      </c>
      <c r="H30" s="89" t="s">
        <v>271</v>
      </c>
      <c r="I30" s="97" t="s">
        <v>293</v>
      </c>
      <c r="J30" s="97" t="s">
        <v>292</v>
      </c>
      <c r="K30" s="86" t="s">
        <v>273</v>
      </c>
      <c r="L30" s="57" t="s">
        <v>274</v>
      </c>
      <c r="M30" s="57" t="s">
        <v>335</v>
      </c>
      <c r="N30" s="91" t="s">
        <v>338</v>
      </c>
      <c r="O30" s="86" t="s">
        <v>392</v>
      </c>
      <c r="P30" s="89" t="s">
        <v>291</v>
      </c>
      <c r="Q30" s="97" t="s">
        <v>294</v>
      </c>
      <c r="R30" s="97" t="s">
        <v>295</v>
      </c>
      <c r="S30" s="102" t="s">
        <v>296</v>
      </c>
      <c r="T30" s="86" t="s">
        <v>297</v>
      </c>
      <c r="U30" s="104" t="s">
        <v>344</v>
      </c>
      <c r="V30" s="86" t="s">
        <v>393</v>
      </c>
      <c r="W30" s="93" t="s">
        <v>394</v>
      </c>
      <c r="X30" s="105" t="s">
        <v>318</v>
      </c>
      <c r="Y30" s="97" t="s">
        <v>428</v>
      </c>
      <c r="Z30" s="97" t="s">
        <v>424</v>
      </c>
      <c r="AA30" t="s">
        <v>395</v>
      </c>
      <c r="AB30" t="s">
        <v>427</v>
      </c>
      <c r="AC30" s="97" t="s">
        <v>428</v>
      </c>
      <c r="AD30" s="97" t="s">
        <v>424</v>
      </c>
    </row>
    <row r="31" spans="1:112">
      <c r="A31">
        <v>2013</v>
      </c>
      <c r="B31" s="87">
        <f>VLOOKUP(A31,DA!$A$1:$I$6,6,TRUE)</f>
        <v>153569</v>
      </c>
      <c r="C31" s="87">
        <v>18.3</v>
      </c>
      <c r="D31" s="107">
        <v>17.343</v>
      </c>
      <c r="E31" s="87">
        <f>B31*365/365</f>
        <v>153569</v>
      </c>
      <c r="F31" s="92">
        <f>FE!$D$22</f>
        <v>5</v>
      </c>
      <c r="G31" s="87">
        <f>E31*F31</f>
        <v>767845</v>
      </c>
      <c r="H31" s="90">
        <f>G31</f>
        <v>767845</v>
      </c>
      <c r="I31" s="98">
        <f>H31*10^-9</f>
        <v>7.6784500000000007E-4</v>
      </c>
      <c r="J31" s="98">
        <f>H31*10^-6</f>
        <v>0.767845</v>
      </c>
      <c r="K31" s="87">
        <v>0.35</v>
      </c>
      <c r="L31">
        <v>0.13</v>
      </c>
      <c r="M31">
        <f>VLOOKUP(C31,FE!$Q$72:$Y$91,3,TRUE)</f>
        <v>35</v>
      </c>
      <c r="N31" s="96">
        <f>(K31*365)*(L31*0.67)*(M31/100)</f>
        <v>3.8944587499999996</v>
      </c>
      <c r="O31">
        <f>(E31*$N31)</f>
        <v>598068.13577874994</v>
      </c>
      <c r="P31" s="99">
        <f>O31</f>
        <v>598068.13577874994</v>
      </c>
      <c r="Q31" s="101">
        <f>P31*10^-9</f>
        <v>5.9806813577875E-4</v>
      </c>
      <c r="R31" s="100">
        <f>P31*10^-6</f>
        <v>0.59806813577874995</v>
      </c>
      <c r="S31" s="103">
        <v>1.37</v>
      </c>
      <c r="T31">
        <f>((E31*$D31)/1000)*$S31*365</f>
        <v>1331806.75085835</v>
      </c>
      <c r="U31" s="103">
        <f>FE!$B$132</f>
        <v>0.02</v>
      </c>
      <c r="V31">
        <f>((T31*$U31)*(44/28))</f>
        <v>41856.78359840528</v>
      </c>
      <c r="W31" s="94">
        <f>V31</f>
        <v>41856.78359840528</v>
      </c>
      <c r="X31" s="99">
        <f>W31</f>
        <v>41856.78359840528</v>
      </c>
      <c r="Y31" s="101">
        <f>X31*10^-9</f>
        <v>4.1856783598405279E-5</v>
      </c>
      <c r="Z31" s="100">
        <f>X31*10^-6</f>
        <v>4.1856783598405278E-2</v>
      </c>
      <c r="AA31">
        <f>T31-(T31*U31)</f>
        <v>1305170.6158411829</v>
      </c>
      <c r="AB31">
        <f t="shared" si="212"/>
        <v>2610.341231682366</v>
      </c>
      <c r="AC31" s="101">
        <f>AB31*10^-9</f>
        <v>2.6103412316823663E-6</v>
      </c>
      <c r="AD31" s="100">
        <f>AB31*10^-6</f>
        <v>2.610341231682366E-3</v>
      </c>
    </row>
    <row r="32" spans="1:112">
      <c r="A32">
        <v>2014</v>
      </c>
      <c r="B32" s="87">
        <f>VLOOKUP(A32,DA!$A$1:$I$6,6,TRUE)</f>
        <v>153900</v>
      </c>
      <c r="C32" s="87">
        <v>18.600000000000001</v>
      </c>
      <c r="D32" s="107">
        <v>18.588000000000001</v>
      </c>
      <c r="E32" s="87">
        <f t="shared" ref="E32:E35" si="215">B32*365/365</f>
        <v>153900</v>
      </c>
      <c r="F32" s="92">
        <f>FE!$D$22</f>
        <v>5</v>
      </c>
      <c r="G32" s="87">
        <f>E32*F32</f>
        <v>769500</v>
      </c>
      <c r="H32" s="90">
        <f t="shared" ref="H32:H35" si="216">G32</f>
        <v>769500</v>
      </c>
      <c r="I32" s="98">
        <f t="shared" ref="I32:I35" si="217">H32*10^-9</f>
        <v>7.695E-4</v>
      </c>
      <c r="J32" s="98">
        <f t="shared" ref="J32:J35" si="218">H32*10^-6</f>
        <v>0.76949999999999996</v>
      </c>
      <c r="K32" s="87">
        <v>0.35</v>
      </c>
      <c r="L32">
        <v>0.13</v>
      </c>
      <c r="M32">
        <f>VLOOKUP(C32,FE!$Q$72:$Y$91,3,TRUE)</f>
        <v>35</v>
      </c>
      <c r="N32" s="96">
        <f>(K32*365)*(L32*0.67)*(M32/100)</f>
        <v>3.8944587499999996</v>
      </c>
      <c r="O32">
        <f>(E32*$N32)</f>
        <v>599357.20162499999</v>
      </c>
      <c r="P32" s="99">
        <f t="shared" ref="P32:P35" si="219">O32</f>
        <v>599357.20162499999</v>
      </c>
      <c r="Q32" s="101">
        <f t="shared" ref="Q32:Q35" si="220">P32*10^-9</f>
        <v>5.9935720162500002E-4</v>
      </c>
      <c r="R32" s="100">
        <f t="shared" ref="R32:R35" si="221">P32*10^-6</f>
        <v>0.59935720162499995</v>
      </c>
      <c r="S32" s="103">
        <v>1.37</v>
      </c>
      <c r="T32">
        <f>((E32*$D32)/1000)*$S32*365</f>
        <v>1430489.6346600002</v>
      </c>
      <c r="U32" s="103">
        <f>FE!$B$132</f>
        <v>0.02</v>
      </c>
      <c r="V32">
        <f>((T32*$U32)*(44/28))</f>
        <v>44958.245660742861</v>
      </c>
      <c r="W32" s="94">
        <f t="shared" ref="W32:X35" si="222">V32</f>
        <v>44958.245660742861</v>
      </c>
      <c r="X32" s="99">
        <f t="shared" si="222"/>
        <v>44958.245660742861</v>
      </c>
      <c r="Y32" s="101">
        <f t="shared" ref="Y32:Y35" si="223">X32*10^-9</f>
        <v>4.4958245660742866E-5</v>
      </c>
      <c r="Z32" s="100">
        <f t="shared" ref="Z32:Z35" si="224">X32*10^-6</f>
        <v>4.4958245660742857E-2</v>
      </c>
      <c r="AA32">
        <f t="shared" ref="AA32:AA35" si="225">T32-(T32*U32)</f>
        <v>1401879.8419668002</v>
      </c>
      <c r="AB32">
        <f t="shared" si="212"/>
        <v>2803.7596839336002</v>
      </c>
      <c r="AC32" s="101">
        <f t="shared" ref="AC32:AC35" si="226">AB32*10^-9</f>
        <v>2.8037596839336003E-6</v>
      </c>
      <c r="AD32" s="100">
        <f t="shared" ref="AD32:AD35" si="227">AB32*10^-6</f>
        <v>2.8037596839336001E-3</v>
      </c>
    </row>
    <row r="33" spans="1:30">
      <c r="A33">
        <v>2015</v>
      </c>
      <c r="B33" s="87">
        <f>VLOOKUP(A33,DA!$A$1:$I$6,6,TRUE)</f>
        <v>152375</v>
      </c>
      <c r="C33" s="87">
        <v>19</v>
      </c>
      <c r="D33" s="107">
        <v>18.474</v>
      </c>
      <c r="E33" s="87">
        <f t="shared" si="215"/>
        <v>152375</v>
      </c>
      <c r="F33" s="92">
        <f>FE!$D$22</f>
        <v>5</v>
      </c>
      <c r="G33" s="87">
        <f>E33*F33</f>
        <v>761875</v>
      </c>
      <c r="H33" s="90">
        <f t="shared" si="216"/>
        <v>761875</v>
      </c>
      <c r="I33" s="98">
        <f t="shared" si="217"/>
        <v>7.6187500000000007E-4</v>
      </c>
      <c r="J33" s="98">
        <f t="shared" si="218"/>
        <v>0.76187499999999997</v>
      </c>
      <c r="K33" s="87">
        <v>0.35</v>
      </c>
      <c r="L33">
        <v>0.13</v>
      </c>
      <c r="M33">
        <f>VLOOKUP(C33,FE!$Q$72:$Y$91,3,TRUE)</f>
        <v>39</v>
      </c>
      <c r="N33" s="96">
        <f>(K33*365)*(L33*0.67)*(M33/100)</f>
        <v>4.3395397500000001</v>
      </c>
      <c r="O33">
        <f>(E33*$N33)</f>
        <v>661237.36940625007</v>
      </c>
      <c r="P33" s="99">
        <f t="shared" si="219"/>
        <v>661237.36940625007</v>
      </c>
      <c r="Q33" s="101">
        <f t="shared" si="220"/>
        <v>6.6123736940625012E-4</v>
      </c>
      <c r="R33" s="100">
        <f t="shared" si="221"/>
        <v>0.66123736940625</v>
      </c>
      <c r="S33" s="103">
        <v>1.37</v>
      </c>
      <c r="T33">
        <f>((E33*$D33)/1000)*$S33*365</f>
        <v>1407628.6237875002</v>
      </c>
      <c r="U33" s="103">
        <f>FE!$B$132</f>
        <v>0.02</v>
      </c>
      <c r="V33">
        <f>((T33*$U33)*(44/28))</f>
        <v>44239.756747607149</v>
      </c>
      <c r="W33" s="94">
        <f t="shared" si="222"/>
        <v>44239.756747607149</v>
      </c>
      <c r="X33" s="99">
        <f t="shared" si="222"/>
        <v>44239.756747607149</v>
      </c>
      <c r="Y33" s="101">
        <f t="shared" si="223"/>
        <v>4.4239756747607152E-5</v>
      </c>
      <c r="Z33" s="100">
        <f t="shared" si="224"/>
        <v>4.4239756747607148E-2</v>
      </c>
      <c r="AA33">
        <f t="shared" si="225"/>
        <v>1379476.0513117502</v>
      </c>
      <c r="AB33">
        <f t="shared" si="212"/>
        <v>2758.9521026235007</v>
      </c>
      <c r="AC33" s="101">
        <f t="shared" si="226"/>
        <v>2.7589521026235008E-6</v>
      </c>
      <c r="AD33" s="100">
        <f t="shared" si="227"/>
        <v>2.7589521026235007E-3</v>
      </c>
    </row>
    <row r="34" spans="1:30">
      <c r="A34">
        <v>2016</v>
      </c>
      <c r="B34" s="87">
        <f>VLOOKUP(A34,DA!$A$1:$I$6,6,TRUE)</f>
        <v>151601</v>
      </c>
      <c r="C34" s="87">
        <v>19.100000000000001</v>
      </c>
      <c r="D34" s="107">
        <v>18.844999999999999</v>
      </c>
      <c r="E34" s="87">
        <f t="shared" si="215"/>
        <v>151601</v>
      </c>
      <c r="F34" s="92">
        <f>FE!$D$22</f>
        <v>5</v>
      </c>
      <c r="G34" s="87">
        <f>E34*F34</f>
        <v>758005</v>
      </c>
      <c r="H34" s="90">
        <f t="shared" si="216"/>
        <v>758005</v>
      </c>
      <c r="I34" s="98">
        <f t="shared" si="217"/>
        <v>7.5800500000000007E-4</v>
      </c>
      <c r="J34" s="98">
        <f t="shared" si="218"/>
        <v>0.75800499999999993</v>
      </c>
      <c r="K34" s="87">
        <v>0.35</v>
      </c>
      <c r="L34">
        <v>0.13</v>
      </c>
      <c r="M34">
        <f>VLOOKUP(C34,FE!$Q$72:$Y$91,3,TRUE)</f>
        <v>39</v>
      </c>
      <c r="N34" s="96">
        <f>(K34*365)*(L34*0.67)*(M34/100)</f>
        <v>4.3395397500000001</v>
      </c>
      <c r="O34">
        <f>(E34*$N34)</f>
        <v>657878.56563974998</v>
      </c>
      <c r="P34" s="99">
        <f t="shared" si="219"/>
        <v>657878.56563974998</v>
      </c>
      <c r="Q34" s="101">
        <f t="shared" si="220"/>
        <v>6.5787856563975008E-4</v>
      </c>
      <c r="R34" s="100">
        <f t="shared" si="221"/>
        <v>0.65787856563975</v>
      </c>
      <c r="S34" s="103">
        <v>1.37</v>
      </c>
      <c r="T34">
        <f>((E34*$D34)/1000)*$S34*365</f>
        <v>1428603.2685422499</v>
      </c>
      <c r="U34" s="103">
        <f>FE!$B$132</f>
        <v>0.02</v>
      </c>
      <c r="V34">
        <f>((T34*$U34)*(44/28))</f>
        <v>44898.959868470709</v>
      </c>
      <c r="W34" s="94">
        <f t="shared" si="222"/>
        <v>44898.959868470709</v>
      </c>
      <c r="X34" s="99">
        <f t="shared" si="222"/>
        <v>44898.959868470709</v>
      </c>
      <c r="Y34" s="101">
        <f t="shared" si="223"/>
        <v>4.4898959868470714E-5</v>
      </c>
      <c r="Z34" s="100">
        <f t="shared" si="224"/>
        <v>4.4898959868470707E-2</v>
      </c>
      <c r="AA34">
        <f t="shared" si="225"/>
        <v>1400031.203171405</v>
      </c>
      <c r="AB34">
        <f t="shared" si="212"/>
        <v>2800.0624063428104</v>
      </c>
      <c r="AC34" s="101">
        <f t="shared" si="226"/>
        <v>2.8000624063428106E-6</v>
      </c>
      <c r="AD34" s="100">
        <f t="shared" si="227"/>
        <v>2.8000624063428104E-3</v>
      </c>
    </row>
    <row r="35" spans="1:30">
      <c r="A35">
        <v>2017</v>
      </c>
      <c r="B35" s="87">
        <f>VLOOKUP(A35,DA!$A$1:$I$6,6,TRUE)</f>
        <v>149840</v>
      </c>
      <c r="C35" s="87">
        <v>19.399999999999999</v>
      </c>
      <c r="D35" s="107">
        <v>19.103000000000002</v>
      </c>
      <c r="E35" s="87">
        <f t="shared" si="215"/>
        <v>149840</v>
      </c>
      <c r="F35" s="92">
        <f>FE!$D$22</f>
        <v>5</v>
      </c>
      <c r="G35" s="87">
        <f>E35*F35</f>
        <v>749200</v>
      </c>
      <c r="H35" s="90">
        <f t="shared" si="216"/>
        <v>749200</v>
      </c>
      <c r="I35" s="98">
        <f t="shared" si="217"/>
        <v>7.492E-4</v>
      </c>
      <c r="J35" s="98">
        <f t="shared" si="218"/>
        <v>0.74919999999999998</v>
      </c>
      <c r="K35" s="87">
        <v>0.35</v>
      </c>
      <c r="L35">
        <v>0.13</v>
      </c>
      <c r="M35">
        <f>VLOOKUP(C35,FE!$Q$72:$Y$91,3,TRUE)</f>
        <v>39</v>
      </c>
      <c r="N35" s="96">
        <f>(K35*365)*(L35*0.67)*(M35/100)</f>
        <v>4.3395397500000001</v>
      </c>
      <c r="O35">
        <f>(E35*$N35)</f>
        <v>650236.63614000008</v>
      </c>
      <c r="P35" s="99">
        <f t="shared" si="219"/>
        <v>650236.63614000008</v>
      </c>
      <c r="Q35" s="101">
        <f t="shared" si="220"/>
        <v>6.5023663614000016E-4</v>
      </c>
      <c r="R35" s="100">
        <f t="shared" si="221"/>
        <v>0.65023663614000005</v>
      </c>
      <c r="S35" s="103">
        <v>1.37</v>
      </c>
      <c r="T35">
        <f>((E35*$D35)/1000)*$S35*365</f>
        <v>1431339.8796760002</v>
      </c>
      <c r="U35" s="103">
        <f>FE!$B$132</f>
        <v>0.02</v>
      </c>
      <c r="V35">
        <f>((T35*$U35)*(44/28))</f>
        <v>44984.967646960009</v>
      </c>
      <c r="W35" s="94">
        <f t="shared" si="222"/>
        <v>44984.967646960009</v>
      </c>
      <c r="X35" s="99">
        <f t="shared" si="222"/>
        <v>44984.967646960009</v>
      </c>
      <c r="Y35" s="101">
        <f t="shared" si="223"/>
        <v>4.4984967646960011E-5</v>
      </c>
      <c r="Z35" s="100">
        <f t="shared" si="224"/>
        <v>4.4984967646960007E-2</v>
      </c>
      <c r="AA35">
        <f t="shared" si="225"/>
        <v>1402713.0820824802</v>
      </c>
      <c r="AB35">
        <f t="shared" si="212"/>
        <v>2805.4261641649605</v>
      </c>
      <c r="AC35" s="101">
        <f t="shared" si="226"/>
        <v>2.8054261641649608E-6</v>
      </c>
      <c r="AD35" s="100">
        <f t="shared" si="227"/>
        <v>2.8054261641649605E-3</v>
      </c>
    </row>
    <row r="36" spans="1:30">
      <c r="A36" t="s">
        <v>74</v>
      </c>
    </row>
    <row r="37" spans="1:30" ht="75">
      <c r="A37" t="s">
        <v>11</v>
      </c>
      <c r="B37" t="s">
        <v>16</v>
      </c>
      <c r="C37" t="s">
        <v>28</v>
      </c>
      <c r="D37" t="s">
        <v>26</v>
      </c>
      <c r="E37" t="s">
        <v>253</v>
      </c>
      <c r="F37" s="91" t="s">
        <v>261</v>
      </c>
      <c r="G37" s="57" t="s">
        <v>391</v>
      </c>
      <c r="H37" s="89" t="s">
        <v>271</v>
      </c>
      <c r="I37" s="97" t="s">
        <v>293</v>
      </c>
      <c r="J37" s="97" t="s">
        <v>292</v>
      </c>
      <c r="K37" s="86" t="s">
        <v>273</v>
      </c>
      <c r="L37" s="57" t="s">
        <v>274</v>
      </c>
      <c r="M37" s="57" t="s">
        <v>335</v>
      </c>
      <c r="N37" s="91" t="s">
        <v>338</v>
      </c>
      <c r="O37" s="86" t="s">
        <v>392</v>
      </c>
      <c r="P37" s="89" t="s">
        <v>291</v>
      </c>
      <c r="Q37" s="97" t="s">
        <v>294</v>
      </c>
      <c r="R37" s="97" t="s">
        <v>295</v>
      </c>
      <c r="S37" s="102" t="s">
        <v>296</v>
      </c>
      <c r="T37" s="86" t="s">
        <v>297</v>
      </c>
      <c r="U37" s="104" t="s">
        <v>344</v>
      </c>
      <c r="V37" s="86" t="s">
        <v>393</v>
      </c>
      <c r="W37" s="93" t="s">
        <v>394</v>
      </c>
      <c r="X37" s="105" t="s">
        <v>318</v>
      </c>
      <c r="Y37" s="97" t="s">
        <v>428</v>
      </c>
      <c r="Z37" s="97" t="s">
        <v>424</v>
      </c>
      <c r="AA37" t="s">
        <v>395</v>
      </c>
      <c r="AB37" t="s">
        <v>427</v>
      </c>
      <c r="AC37" s="97" t="s">
        <v>428</v>
      </c>
      <c r="AD37" s="97" t="s">
        <v>424</v>
      </c>
    </row>
    <row r="38" spans="1:30">
      <c r="A38">
        <v>2013</v>
      </c>
      <c r="B38" s="109">
        <v>65138</v>
      </c>
      <c r="C38" s="87">
        <v>18.3</v>
      </c>
      <c r="D38" s="107">
        <v>450</v>
      </c>
      <c r="E38" s="87">
        <f>B38*365/365</f>
        <v>65138</v>
      </c>
      <c r="F38" s="92">
        <f>FE!$D$23</f>
        <v>18</v>
      </c>
      <c r="G38" s="87">
        <f>E38*F38</f>
        <v>1172484</v>
      </c>
      <c r="H38" s="90">
        <f>G38</f>
        <v>1172484</v>
      </c>
      <c r="I38" s="98">
        <f>H38*10^-9</f>
        <v>1.1724840000000001E-3</v>
      </c>
      <c r="J38" s="98">
        <f>H38*10^-6</f>
        <v>1.1724839999999999</v>
      </c>
      <c r="K38" s="87">
        <v>1.72</v>
      </c>
      <c r="L38">
        <v>0.26</v>
      </c>
      <c r="M38">
        <f>VLOOKUP(C38,FE!$Q$72:$Y$91,3,TRUE)</f>
        <v>35</v>
      </c>
      <c r="N38" s="96">
        <f>(K38*365)*(L38*0.67)*(M38/100)</f>
        <v>38.276966000000002</v>
      </c>
      <c r="O38">
        <f>(E38*$N38)</f>
        <v>2493285.011308</v>
      </c>
      <c r="P38" s="99">
        <f>O38</f>
        <v>2493285.011308</v>
      </c>
      <c r="Q38" s="101">
        <f>P38*10^-9</f>
        <v>2.4932850113080001E-3</v>
      </c>
      <c r="R38" s="100">
        <f>P38*10^-6</f>
        <v>2.4932850113080001</v>
      </c>
      <c r="S38" s="103">
        <v>0.46</v>
      </c>
      <c r="T38">
        <f>((E38*$D38)/1000)*$S38*365</f>
        <v>4921501.59</v>
      </c>
      <c r="U38" s="103">
        <f>FE!$B$132</f>
        <v>0.02</v>
      </c>
      <c r="V38">
        <f>((T38*$U38)*(44/28))</f>
        <v>154675.76425714284</v>
      </c>
      <c r="W38" s="94">
        <f>V38</f>
        <v>154675.76425714284</v>
      </c>
      <c r="X38" s="99">
        <f>W38</f>
        <v>154675.76425714284</v>
      </c>
      <c r="Y38" s="101">
        <f>X38*10^-9</f>
        <v>1.5467576425714285E-4</v>
      </c>
      <c r="Z38" s="100">
        <f>X38*10^-6</f>
        <v>0.15467576425714283</v>
      </c>
      <c r="AA38">
        <f>T38-(T38*U38)</f>
        <v>4823071.5581999999</v>
      </c>
      <c r="AB38">
        <f t="shared" si="212"/>
        <v>9646.1431164000005</v>
      </c>
      <c r="AC38" s="101">
        <f>AB38*10^-9</f>
        <v>9.6461431164000011E-6</v>
      </c>
      <c r="AD38" s="100">
        <f>AB38*10^-6</f>
        <v>9.6461431164000001E-3</v>
      </c>
    </row>
    <row r="39" spans="1:30">
      <c r="A39">
        <v>2014</v>
      </c>
      <c r="B39" s="109">
        <v>63863</v>
      </c>
      <c r="C39" s="87">
        <v>18.600000000000001</v>
      </c>
      <c r="D39" s="107">
        <v>450</v>
      </c>
      <c r="E39" s="87">
        <f t="shared" ref="E39:E42" si="228">B39*365/365</f>
        <v>63863</v>
      </c>
      <c r="F39" s="92">
        <f>FE!$D$23</f>
        <v>18</v>
      </c>
      <c r="G39" s="87">
        <f>E39*F39</f>
        <v>1149534</v>
      </c>
      <c r="H39" s="90">
        <f t="shared" ref="H39:H42" si="229">G39</f>
        <v>1149534</v>
      </c>
      <c r="I39" s="98">
        <f t="shared" ref="I39:I42" si="230">H39*10^-9</f>
        <v>1.149534E-3</v>
      </c>
      <c r="J39" s="98">
        <f t="shared" ref="J39:J42" si="231">H39*10^-6</f>
        <v>1.1495340000000001</v>
      </c>
      <c r="K39" s="87">
        <v>1.72</v>
      </c>
      <c r="L39">
        <v>0.26</v>
      </c>
      <c r="M39">
        <f>VLOOKUP(C39,FE!$Q$72:$Y$91,3,TRUE)</f>
        <v>35</v>
      </c>
      <c r="N39" s="96">
        <f>(K39*365)*(L39*0.67)*(M39/100)</f>
        <v>38.276966000000002</v>
      </c>
      <c r="O39">
        <f>(E39*$N39)</f>
        <v>2444481.8796580001</v>
      </c>
      <c r="P39" s="99">
        <f t="shared" ref="P39:P42" si="232">O39</f>
        <v>2444481.8796580001</v>
      </c>
      <c r="Q39" s="101">
        <f t="shared" ref="Q39:Q42" si="233">P39*10^-9</f>
        <v>2.4444818796580002E-3</v>
      </c>
      <c r="R39" s="100">
        <f t="shared" ref="R39:R42" si="234">P39*10^-6</f>
        <v>2.4444818796579999</v>
      </c>
      <c r="S39" s="103">
        <v>0.46</v>
      </c>
      <c r="T39">
        <f>((E39*$D39)/1000)*$S39*365</f>
        <v>4825168.9649999999</v>
      </c>
      <c r="U39" s="103">
        <f>FE!$B$132</f>
        <v>0.02</v>
      </c>
      <c r="V39">
        <f>((T39*$U39)*(44/28))</f>
        <v>151648.16747142858</v>
      </c>
      <c r="W39" s="94">
        <f t="shared" ref="W39:X39" si="235">V39</f>
        <v>151648.16747142858</v>
      </c>
      <c r="X39" s="99">
        <f t="shared" si="235"/>
        <v>151648.16747142858</v>
      </c>
      <c r="Y39" s="101">
        <f t="shared" ref="Y39:Y42" si="236">X39*10^-9</f>
        <v>1.5164816747142859E-4</v>
      </c>
      <c r="Z39" s="100">
        <f t="shared" ref="Z39:Z42" si="237">X39*10^-6</f>
        <v>0.15164816747142856</v>
      </c>
      <c r="AA39">
        <f t="shared" ref="AA39:AA42" si="238">T39-(T39*U39)</f>
        <v>4728665.5856999997</v>
      </c>
      <c r="AB39">
        <f t="shared" si="212"/>
        <v>9457.3311713999992</v>
      </c>
      <c r="AC39" s="101">
        <f t="shared" ref="AC39:AC42" si="239">AB39*10^-9</f>
        <v>9.4573311714E-6</v>
      </c>
      <c r="AD39" s="100">
        <f t="shared" ref="AD39:AD42" si="240">AB39*10^-6</f>
        <v>9.4573311713999995E-3</v>
      </c>
    </row>
    <row r="40" spans="1:30">
      <c r="A40">
        <v>2015</v>
      </c>
      <c r="B40" s="109">
        <v>64500.5</v>
      </c>
      <c r="C40" s="87">
        <v>19</v>
      </c>
      <c r="D40" s="107">
        <v>450</v>
      </c>
      <c r="E40" s="87">
        <f t="shared" si="228"/>
        <v>64500.5</v>
      </c>
      <c r="F40" s="92">
        <f>FE!$D$23</f>
        <v>18</v>
      </c>
      <c r="G40" s="87">
        <f>E40*F40</f>
        <v>1161009</v>
      </c>
      <c r="H40" s="90">
        <f t="shared" si="229"/>
        <v>1161009</v>
      </c>
      <c r="I40" s="98">
        <f t="shared" si="230"/>
        <v>1.1610090000000002E-3</v>
      </c>
      <c r="J40" s="98">
        <f t="shared" si="231"/>
        <v>1.161009</v>
      </c>
      <c r="K40" s="87">
        <v>1.72</v>
      </c>
      <c r="L40">
        <v>0.26</v>
      </c>
      <c r="M40">
        <f>VLOOKUP(C40,FE!$Q$72:$Y$91,3,TRUE)</f>
        <v>39</v>
      </c>
      <c r="N40" s="96">
        <f>(K40*365)*(L40*0.67)*(M40/100)</f>
        <v>42.651476400000007</v>
      </c>
      <c r="O40">
        <f>(E40*$N40)</f>
        <v>2751041.5535382004</v>
      </c>
      <c r="P40" s="99">
        <f t="shared" si="232"/>
        <v>2751041.5535382004</v>
      </c>
      <c r="Q40" s="101">
        <f t="shared" si="233"/>
        <v>2.7510415535382006E-3</v>
      </c>
      <c r="R40" s="100">
        <f t="shared" si="234"/>
        <v>2.7510415535382005</v>
      </c>
      <c r="S40" s="103">
        <v>0.46</v>
      </c>
      <c r="T40">
        <f>((E40*$D40)/1000)*$S40*365</f>
        <v>4873335.2774999999</v>
      </c>
      <c r="U40" s="103">
        <f>FE!$B$132</f>
        <v>0.02</v>
      </c>
      <c r="V40">
        <f>((T40*$U40)*(44/28))</f>
        <v>153161.96586428571</v>
      </c>
      <c r="W40" s="94">
        <f t="shared" ref="W40:X40" si="241">V40</f>
        <v>153161.96586428571</v>
      </c>
      <c r="X40" s="99">
        <f t="shared" si="241"/>
        <v>153161.96586428571</v>
      </c>
      <c r="Y40" s="101">
        <f t="shared" si="236"/>
        <v>1.5316196586428571E-4</v>
      </c>
      <c r="Z40" s="100">
        <f t="shared" si="237"/>
        <v>0.15316196586428571</v>
      </c>
      <c r="AA40">
        <f t="shared" si="238"/>
        <v>4775868.5719499998</v>
      </c>
      <c r="AB40">
        <f t="shared" si="212"/>
        <v>9551.7371438999999</v>
      </c>
      <c r="AC40" s="101">
        <f t="shared" si="239"/>
        <v>9.5517371438999997E-6</v>
      </c>
      <c r="AD40" s="100">
        <f t="shared" si="240"/>
        <v>9.5517371438999989E-3</v>
      </c>
    </row>
    <row r="41" spans="1:30">
      <c r="A41">
        <v>2016</v>
      </c>
      <c r="B41" s="109">
        <v>64181.75</v>
      </c>
      <c r="C41" s="87">
        <v>19.100000000000001</v>
      </c>
      <c r="D41" s="107">
        <v>450</v>
      </c>
      <c r="E41" s="87">
        <f t="shared" si="228"/>
        <v>64181.75</v>
      </c>
      <c r="F41" s="92">
        <f>FE!$D$23</f>
        <v>18</v>
      </c>
      <c r="G41" s="87">
        <f>E41*F41</f>
        <v>1155271.5</v>
      </c>
      <c r="H41" s="90">
        <f t="shared" si="229"/>
        <v>1155271.5</v>
      </c>
      <c r="I41" s="98">
        <f t="shared" si="230"/>
        <v>1.1552715E-3</v>
      </c>
      <c r="J41" s="98">
        <f t="shared" si="231"/>
        <v>1.1552715</v>
      </c>
      <c r="K41" s="87">
        <v>1.72</v>
      </c>
      <c r="L41">
        <v>0.26</v>
      </c>
      <c r="M41">
        <f>VLOOKUP(C41,FE!$Q$72:$Y$91,3,TRUE)</f>
        <v>39</v>
      </c>
      <c r="N41" s="96">
        <f>(K41*365)*(L41*0.67)*(M41/100)</f>
        <v>42.651476400000007</v>
      </c>
      <c r="O41">
        <f>(E41*$N41)</f>
        <v>2737446.3954357007</v>
      </c>
      <c r="P41" s="99">
        <f t="shared" si="232"/>
        <v>2737446.3954357007</v>
      </c>
      <c r="Q41" s="101">
        <f t="shared" si="233"/>
        <v>2.7374463954357008E-3</v>
      </c>
      <c r="R41" s="100">
        <f t="shared" si="234"/>
        <v>2.7374463954357005</v>
      </c>
      <c r="S41" s="103">
        <v>0.46</v>
      </c>
      <c r="T41">
        <f>((E41*$D41)/1000)*$S41*365</f>
        <v>4849252.1212499999</v>
      </c>
      <c r="U41" s="103">
        <f>FE!$B$132</f>
        <v>0.02</v>
      </c>
      <c r="V41">
        <f>((T41*$U41)*(44/28))</f>
        <v>152405.06666785711</v>
      </c>
      <c r="W41" s="94">
        <f t="shared" ref="W41:X41" si="242">V41</f>
        <v>152405.06666785711</v>
      </c>
      <c r="X41" s="99">
        <f t="shared" si="242"/>
        <v>152405.06666785711</v>
      </c>
      <c r="Y41" s="101">
        <f t="shared" si="236"/>
        <v>1.5240506666785712E-4</v>
      </c>
      <c r="Z41" s="100">
        <f t="shared" si="237"/>
        <v>0.15240506666785711</v>
      </c>
      <c r="AA41">
        <f t="shared" si="238"/>
        <v>4752267.0788249997</v>
      </c>
      <c r="AB41">
        <f t="shared" si="212"/>
        <v>9504.5341576500014</v>
      </c>
      <c r="AC41" s="101">
        <f t="shared" si="239"/>
        <v>9.5045341576500024E-6</v>
      </c>
      <c r="AD41" s="100">
        <f t="shared" si="240"/>
        <v>9.5045341576500009E-3</v>
      </c>
    </row>
    <row r="42" spans="1:30">
      <c r="A42">
        <v>2017</v>
      </c>
      <c r="B42" s="109">
        <v>64341.125</v>
      </c>
      <c r="C42" s="87">
        <v>19.399999999999999</v>
      </c>
      <c r="D42" s="107">
        <v>450</v>
      </c>
      <c r="E42" s="87">
        <f t="shared" si="228"/>
        <v>64341.125</v>
      </c>
      <c r="F42" s="92">
        <f>FE!$D$23</f>
        <v>18</v>
      </c>
      <c r="G42" s="87">
        <f>E42*F42</f>
        <v>1158140.25</v>
      </c>
      <c r="H42" s="90">
        <f t="shared" si="229"/>
        <v>1158140.25</v>
      </c>
      <c r="I42" s="98">
        <f t="shared" si="230"/>
        <v>1.1581402500000001E-3</v>
      </c>
      <c r="J42" s="98">
        <f t="shared" si="231"/>
        <v>1.15814025</v>
      </c>
      <c r="K42" s="87">
        <v>1.72</v>
      </c>
      <c r="L42">
        <v>0.26</v>
      </c>
      <c r="M42">
        <f>VLOOKUP(C42,FE!$Q$72:$Y$91,3,TRUE)</f>
        <v>39</v>
      </c>
      <c r="N42" s="96">
        <f>(K42*365)*(L42*0.67)*(M42/100)</f>
        <v>42.651476400000007</v>
      </c>
      <c r="O42">
        <f>(E42*$N42)</f>
        <v>2744243.9744869503</v>
      </c>
      <c r="P42" s="99">
        <f t="shared" si="232"/>
        <v>2744243.9744869503</v>
      </c>
      <c r="Q42" s="101">
        <f t="shared" si="233"/>
        <v>2.7442439744869503E-3</v>
      </c>
      <c r="R42" s="100">
        <f t="shared" si="234"/>
        <v>2.7442439744869502</v>
      </c>
      <c r="S42" s="103">
        <v>0.46</v>
      </c>
      <c r="T42">
        <f>((E42*$D42)/1000)*$S42*365</f>
        <v>4861293.6993749999</v>
      </c>
      <c r="U42" s="103">
        <f>FE!$B$132</f>
        <v>0.02</v>
      </c>
      <c r="V42">
        <f>((T42*$U42)*(44/28))</f>
        <v>152783.51626607144</v>
      </c>
      <c r="W42" s="94">
        <f t="shared" ref="W42:X42" si="243">V42</f>
        <v>152783.51626607144</v>
      </c>
      <c r="X42" s="99">
        <f t="shared" si="243"/>
        <v>152783.51626607144</v>
      </c>
      <c r="Y42" s="101">
        <f t="shared" si="236"/>
        <v>1.5278351626607146E-4</v>
      </c>
      <c r="Z42" s="100">
        <f t="shared" si="237"/>
        <v>0.15278351626607142</v>
      </c>
      <c r="AA42">
        <f t="shared" si="238"/>
        <v>4764067.8253875002</v>
      </c>
      <c r="AB42">
        <f t="shared" si="212"/>
        <v>9528.1356507750006</v>
      </c>
      <c r="AC42" s="101">
        <f t="shared" si="239"/>
        <v>9.5281356507750019E-6</v>
      </c>
      <c r="AD42" s="100">
        <f t="shared" si="240"/>
        <v>9.5281356507749999E-3</v>
      </c>
    </row>
    <row r="43" spans="1:30">
      <c r="A43" t="s">
        <v>396</v>
      </c>
    </row>
    <row r="44" spans="1:30" ht="75">
      <c r="A44" t="s">
        <v>11</v>
      </c>
      <c r="B44" t="s">
        <v>16</v>
      </c>
      <c r="C44" t="s">
        <v>28</v>
      </c>
      <c r="D44" t="s">
        <v>26</v>
      </c>
      <c r="E44" t="s">
        <v>253</v>
      </c>
      <c r="F44" s="91" t="s">
        <v>261</v>
      </c>
      <c r="G44" s="57" t="s">
        <v>391</v>
      </c>
      <c r="H44" s="89" t="s">
        <v>271</v>
      </c>
      <c r="I44" s="97" t="s">
        <v>293</v>
      </c>
      <c r="J44" s="97" t="s">
        <v>292</v>
      </c>
      <c r="K44" s="86" t="s">
        <v>273</v>
      </c>
      <c r="L44" s="57" t="s">
        <v>274</v>
      </c>
      <c r="M44" s="57" t="s">
        <v>335</v>
      </c>
      <c r="N44" s="91" t="s">
        <v>338</v>
      </c>
      <c r="O44" s="86" t="s">
        <v>392</v>
      </c>
      <c r="P44" s="89" t="s">
        <v>291</v>
      </c>
      <c r="Q44" s="97" t="s">
        <v>294</v>
      </c>
      <c r="R44" s="97" t="s">
        <v>295</v>
      </c>
      <c r="S44" s="102" t="s">
        <v>296</v>
      </c>
      <c r="T44" s="86" t="s">
        <v>297</v>
      </c>
      <c r="U44" s="104" t="s">
        <v>344</v>
      </c>
      <c r="V44" s="86" t="s">
        <v>393</v>
      </c>
      <c r="W44" s="93" t="s">
        <v>394</v>
      </c>
      <c r="X44" s="105" t="s">
        <v>318</v>
      </c>
      <c r="Y44" s="97" t="s">
        <v>428</v>
      </c>
      <c r="Z44" s="97" t="s">
        <v>424</v>
      </c>
      <c r="AA44" t="s">
        <v>395</v>
      </c>
      <c r="AB44" t="s">
        <v>427</v>
      </c>
      <c r="AC44" s="97" t="s">
        <v>428</v>
      </c>
      <c r="AD44" s="97" t="s">
        <v>424</v>
      </c>
    </row>
    <row r="45" spans="1:30">
      <c r="A45">
        <v>2013</v>
      </c>
      <c r="B45" s="109">
        <v>4610.5</v>
      </c>
      <c r="C45" s="87">
        <v>18.3</v>
      </c>
      <c r="D45" s="107">
        <v>270</v>
      </c>
      <c r="E45" s="87">
        <f>B45*365/365</f>
        <v>4610.5</v>
      </c>
      <c r="F45" s="92">
        <f>FE!$C$24</f>
        <v>10</v>
      </c>
      <c r="G45" s="87">
        <f>E45*F45</f>
        <v>46105</v>
      </c>
      <c r="H45" s="90">
        <f>G45</f>
        <v>46105</v>
      </c>
      <c r="I45" s="98">
        <f>H45*10^-9</f>
        <v>4.6105E-5</v>
      </c>
      <c r="J45" s="98">
        <f>H45*10^-6</f>
        <v>4.6105E-2</v>
      </c>
      <c r="K45" s="87">
        <v>0.94</v>
      </c>
      <c r="L45">
        <v>0.26</v>
      </c>
      <c r="M45">
        <f>VLOOKUP(C45,FE!$Q$72:$Y$91,3,TRUE)</f>
        <v>35</v>
      </c>
      <c r="N45" s="96">
        <f>(K45*365)*(L45*0.67)*(M45/100)</f>
        <v>20.918806999999997</v>
      </c>
      <c r="O45">
        <f>(E45*$N45)</f>
        <v>96446.159673499991</v>
      </c>
      <c r="P45" s="99">
        <f>O45</f>
        <v>96446.159673499991</v>
      </c>
      <c r="Q45" s="101">
        <f>P45*10^-9</f>
        <v>9.6446159673499999E-5</v>
      </c>
      <c r="R45" s="100">
        <f>P45*10^-6</f>
        <v>9.6446159673499982E-2</v>
      </c>
      <c r="S45" s="103">
        <v>0.46</v>
      </c>
      <c r="T45">
        <f>((E45*$D45)/1000)*$S45*365</f>
        <v>209007.7965</v>
      </c>
      <c r="U45" s="103">
        <f>FE!$B$132</f>
        <v>0.02</v>
      </c>
      <c r="V45">
        <f>((T45*$U45)*(44/28))</f>
        <v>6568.8164614285715</v>
      </c>
      <c r="W45" s="94">
        <f>V45</f>
        <v>6568.8164614285715</v>
      </c>
      <c r="X45" s="99">
        <f>W45</f>
        <v>6568.8164614285715</v>
      </c>
      <c r="Y45" s="101">
        <f>X45*10^-9</f>
        <v>6.5688164614285716E-6</v>
      </c>
      <c r="Z45" s="100">
        <f>X45*10^-6</f>
        <v>6.5688164614285715E-3</v>
      </c>
      <c r="AA45">
        <f>T45-(T45*U45)</f>
        <v>204827.64056999999</v>
      </c>
      <c r="AB45">
        <f t="shared" si="212"/>
        <v>409.65528114</v>
      </c>
      <c r="AC45" s="136">
        <f>AB45*10^-9</f>
        <v>4.0965528114E-7</v>
      </c>
      <c r="AD45" s="136">
        <f>AB45*10^-6</f>
        <v>4.0965528113999999E-4</v>
      </c>
    </row>
    <row r="46" spans="1:30">
      <c r="A46">
        <v>2014</v>
      </c>
      <c r="B46" s="109">
        <v>4247.75</v>
      </c>
      <c r="C46" s="87">
        <v>18.600000000000001</v>
      </c>
      <c r="D46" s="107">
        <v>270</v>
      </c>
      <c r="E46" s="87">
        <f t="shared" ref="E46:E49" si="244">B46*365/365</f>
        <v>4247.75</v>
      </c>
      <c r="F46" s="92">
        <f>FE!$C$24</f>
        <v>10</v>
      </c>
      <c r="G46" s="87">
        <f>E46*F46</f>
        <v>42477.5</v>
      </c>
      <c r="H46" s="90">
        <f t="shared" ref="H46:H49" si="245">G46</f>
        <v>42477.5</v>
      </c>
      <c r="I46" s="98">
        <f t="shared" ref="I46:I49" si="246">H46*10^-9</f>
        <v>4.2477500000000001E-5</v>
      </c>
      <c r="J46" s="98">
        <f t="shared" ref="J46:J49" si="247">H46*10^-6</f>
        <v>4.2477500000000001E-2</v>
      </c>
      <c r="K46" s="87">
        <v>0.94</v>
      </c>
      <c r="L46">
        <v>0.26</v>
      </c>
      <c r="M46">
        <f>VLOOKUP(C46,FE!$Q$72:$Y$91,3,TRUE)</f>
        <v>35</v>
      </c>
      <c r="N46" s="96">
        <f>(K46*365)*(L46*0.67)*(M46/100)</f>
        <v>20.918806999999997</v>
      </c>
      <c r="O46">
        <f>(E46*$N46)</f>
        <v>88857.862434249982</v>
      </c>
      <c r="P46" s="99">
        <f t="shared" ref="P46:P49" si="248">O46</f>
        <v>88857.862434249982</v>
      </c>
      <c r="Q46" s="101">
        <f t="shared" ref="Q46:Q49" si="249">P46*10^-9</f>
        <v>8.8857862434249985E-5</v>
      </c>
      <c r="R46" s="100">
        <f t="shared" ref="R46:R49" si="250">P46*10^-6</f>
        <v>8.8857862434249979E-2</v>
      </c>
      <c r="S46" s="103">
        <v>0.46</v>
      </c>
      <c r="T46">
        <f>((E46*$D46)/1000)*$S46*365</f>
        <v>192563.25075000001</v>
      </c>
      <c r="U46" s="103">
        <f>FE!$B$132</f>
        <v>0.02</v>
      </c>
      <c r="V46">
        <f>((T46*$U46)*(44/28))</f>
        <v>6051.9878807142859</v>
      </c>
      <c r="W46" s="94">
        <f t="shared" ref="W46:X46" si="251">V46</f>
        <v>6051.9878807142859</v>
      </c>
      <c r="X46" s="99">
        <f t="shared" si="251"/>
        <v>6051.9878807142859</v>
      </c>
      <c r="Y46" s="101">
        <f t="shared" ref="Y46:Y49" si="252">X46*10^-9</f>
        <v>6.0519878807142858E-6</v>
      </c>
      <c r="Z46" s="100">
        <f t="shared" ref="Z46:Z49" si="253">X46*10^-6</f>
        <v>6.0519878807142853E-3</v>
      </c>
      <c r="AA46">
        <f t="shared" ref="AA46:AA49" si="254">T46-(T46*U46)</f>
        <v>188711.98573499999</v>
      </c>
      <c r="AB46">
        <f t="shared" si="212"/>
        <v>377.42397147000003</v>
      </c>
      <c r="AC46" s="136">
        <f t="shared" ref="AC46:AC49" si="255">AB46*10^-9</f>
        <v>3.7742397147000006E-7</v>
      </c>
      <c r="AD46" s="136">
        <f t="shared" ref="AD46:AD49" si="256">AB46*10^-6</f>
        <v>3.7742397147000003E-4</v>
      </c>
    </row>
    <row r="47" spans="1:30">
      <c r="A47">
        <v>2015</v>
      </c>
      <c r="B47" s="109">
        <v>4429.125</v>
      </c>
      <c r="C47" s="87">
        <v>19</v>
      </c>
      <c r="D47" s="107">
        <v>270</v>
      </c>
      <c r="E47" s="87">
        <f t="shared" si="244"/>
        <v>4429.125</v>
      </c>
      <c r="F47" s="92">
        <f>FE!$C$24</f>
        <v>10</v>
      </c>
      <c r="G47" s="87">
        <f>E47*F47</f>
        <v>44291.25</v>
      </c>
      <c r="H47" s="90">
        <f t="shared" si="245"/>
        <v>44291.25</v>
      </c>
      <c r="I47" s="98">
        <f t="shared" si="246"/>
        <v>4.4291250000000004E-5</v>
      </c>
      <c r="J47" s="98">
        <f t="shared" si="247"/>
        <v>4.4291249999999997E-2</v>
      </c>
      <c r="K47" s="87">
        <v>0.94</v>
      </c>
      <c r="L47">
        <v>0.26</v>
      </c>
      <c r="M47">
        <f>VLOOKUP(C47,FE!$Q$72:$Y$91,3,TRUE)</f>
        <v>39</v>
      </c>
      <c r="N47" s="96">
        <f>(K47*365)*(L47*0.67)*(M47/100)</f>
        <v>23.309527800000001</v>
      </c>
      <c r="O47">
        <f>(E47*$N47)</f>
        <v>103240.812317175</v>
      </c>
      <c r="P47" s="99">
        <f t="shared" si="248"/>
        <v>103240.812317175</v>
      </c>
      <c r="Q47" s="101">
        <f t="shared" si="249"/>
        <v>1.0324081231717501E-4</v>
      </c>
      <c r="R47" s="100">
        <f t="shared" si="250"/>
        <v>0.103240812317175</v>
      </c>
      <c r="S47" s="103">
        <v>0.46</v>
      </c>
      <c r="T47">
        <f>((E47*$D47)/1000)*$S47*365</f>
        <v>200785.52362500003</v>
      </c>
      <c r="U47" s="103">
        <f>FE!$B$132</f>
        <v>0.02</v>
      </c>
      <c r="V47">
        <f>((T47*$U47)*(44/28))</f>
        <v>6310.4021710714296</v>
      </c>
      <c r="W47" s="94">
        <f t="shared" ref="W47:X47" si="257">V47</f>
        <v>6310.4021710714296</v>
      </c>
      <c r="X47" s="99">
        <f t="shared" si="257"/>
        <v>6310.4021710714296</v>
      </c>
      <c r="Y47" s="101">
        <f t="shared" si="252"/>
        <v>6.3104021710714304E-6</v>
      </c>
      <c r="Z47" s="100">
        <f t="shared" si="253"/>
        <v>6.3104021710714293E-3</v>
      </c>
      <c r="AA47">
        <f t="shared" si="254"/>
        <v>196769.81315250002</v>
      </c>
      <c r="AB47">
        <f t="shared" si="212"/>
        <v>393.53962630500007</v>
      </c>
      <c r="AC47" s="136">
        <f t="shared" si="255"/>
        <v>3.9353962630500008E-7</v>
      </c>
      <c r="AD47" s="136">
        <f t="shared" si="256"/>
        <v>3.9353962630500004E-4</v>
      </c>
    </row>
    <row r="48" spans="1:30">
      <c r="A48">
        <v>2016</v>
      </c>
      <c r="B48" s="109">
        <v>4338.4375</v>
      </c>
      <c r="C48" s="87">
        <v>19.100000000000001</v>
      </c>
      <c r="D48" s="107">
        <v>270</v>
      </c>
      <c r="E48" s="87">
        <f t="shared" si="244"/>
        <v>4338.4375</v>
      </c>
      <c r="F48" s="92">
        <f>FE!$C$24</f>
        <v>10</v>
      </c>
      <c r="G48" s="87">
        <f>E48*F48</f>
        <v>43384.375</v>
      </c>
      <c r="H48" s="90">
        <f t="shared" si="245"/>
        <v>43384.375</v>
      </c>
      <c r="I48" s="98">
        <f t="shared" si="246"/>
        <v>4.3384375000000003E-5</v>
      </c>
      <c r="J48" s="98">
        <f t="shared" si="247"/>
        <v>4.3384374999999996E-2</v>
      </c>
      <c r="K48" s="87">
        <v>0.94</v>
      </c>
      <c r="L48">
        <v>0.26</v>
      </c>
      <c r="M48">
        <f>VLOOKUP(C48,FE!$Q$72:$Y$91,3,TRUE)</f>
        <v>39</v>
      </c>
      <c r="N48" s="96">
        <f>(K48*365)*(L48*0.67)*(M48/100)</f>
        <v>23.309527800000001</v>
      </c>
      <c r="O48">
        <f>(E48*$N48)</f>
        <v>101126.92951481251</v>
      </c>
      <c r="P48" s="99">
        <f t="shared" si="248"/>
        <v>101126.92951481251</v>
      </c>
      <c r="Q48" s="101">
        <f t="shared" si="249"/>
        <v>1.0112692951481251E-4</v>
      </c>
      <c r="R48" s="100">
        <f t="shared" si="250"/>
        <v>0.1011269295148125</v>
      </c>
      <c r="S48" s="103">
        <v>0.46</v>
      </c>
      <c r="T48">
        <f>((E48*$D48)/1000)*$S48*365</f>
        <v>196674.38718750002</v>
      </c>
      <c r="U48" s="103">
        <f>FE!$B$132</f>
        <v>0.02</v>
      </c>
      <c r="V48">
        <f>((T48*$U48)*(44/28))</f>
        <v>6181.1950258928573</v>
      </c>
      <c r="W48" s="94">
        <f t="shared" ref="W48:X48" si="258">V48</f>
        <v>6181.1950258928573</v>
      </c>
      <c r="X48" s="99">
        <f t="shared" si="258"/>
        <v>6181.1950258928573</v>
      </c>
      <c r="Y48" s="101">
        <f t="shared" si="252"/>
        <v>6.1811950258928577E-6</v>
      </c>
      <c r="Z48" s="100">
        <f t="shared" si="253"/>
        <v>6.1811950258928569E-3</v>
      </c>
      <c r="AA48">
        <f t="shared" si="254"/>
        <v>192740.89944375001</v>
      </c>
      <c r="AB48">
        <f t="shared" si="212"/>
        <v>385.48179888750008</v>
      </c>
      <c r="AC48" s="136">
        <f t="shared" si="255"/>
        <v>3.854817988875001E-7</v>
      </c>
      <c r="AD48" s="136">
        <f t="shared" si="256"/>
        <v>3.8548179888750006E-4</v>
      </c>
    </row>
    <row r="49" spans="1:107">
      <c r="A49">
        <v>2017</v>
      </c>
      <c r="B49" s="109">
        <v>4383.78125</v>
      </c>
      <c r="C49" s="87">
        <v>19.399999999999999</v>
      </c>
      <c r="D49" s="107">
        <v>270</v>
      </c>
      <c r="E49" s="87">
        <f t="shared" si="244"/>
        <v>4383.78125</v>
      </c>
      <c r="F49" s="92">
        <f>FE!$C$24</f>
        <v>10</v>
      </c>
      <c r="G49" s="87">
        <f>E49*F49</f>
        <v>43837.8125</v>
      </c>
      <c r="H49" s="90">
        <f t="shared" si="245"/>
        <v>43837.8125</v>
      </c>
      <c r="I49" s="98">
        <f t="shared" si="246"/>
        <v>4.38378125E-5</v>
      </c>
      <c r="J49" s="98">
        <f t="shared" si="247"/>
        <v>4.3837812499999997E-2</v>
      </c>
      <c r="K49" s="87">
        <v>0.94</v>
      </c>
      <c r="L49">
        <v>0.26</v>
      </c>
      <c r="M49">
        <f>VLOOKUP(C49,FE!$Q$72:$Y$91,3,TRUE)</f>
        <v>39</v>
      </c>
      <c r="N49" s="96">
        <f>(K49*365)*(L49*0.67)*(M49/100)</f>
        <v>23.309527800000001</v>
      </c>
      <c r="O49">
        <f>(E49*$N49)</f>
        <v>102183.87091599376</v>
      </c>
      <c r="P49" s="99">
        <f t="shared" si="248"/>
        <v>102183.87091599376</v>
      </c>
      <c r="Q49" s="101">
        <f t="shared" si="249"/>
        <v>1.0218387091599376E-4</v>
      </c>
      <c r="R49" s="100">
        <f t="shared" si="250"/>
        <v>0.10218387091599375</v>
      </c>
      <c r="S49" s="103">
        <v>0.46</v>
      </c>
      <c r="T49">
        <f>((E49*$D49)/1000)*$S49*365</f>
        <v>198729.95540625005</v>
      </c>
      <c r="U49" s="103">
        <f>FE!$B$132</f>
        <v>0.02</v>
      </c>
      <c r="V49">
        <f>((T49*$U49)*(44/28))</f>
        <v>6245.7985984821444</v>
      </c>
      <c r="W49" s="94">
        <f t="shared" ref="W49:X49" si="259">V49</f>
        <v>6245.7985984821444</v>
      </c>
      <c r="X49" s="99">
        <f t="shared" si="259"/>
        <v>6245.7985984821444</v>
      </c>
      <c r="Y49" s="101">
        <f t="shared" si="252"/>
        <v>6.2457985984821445E-6</v>
      </c>
      <c r="Z49" s="100">
        <f t="shared" si="253"/>
        <v>6.2457985984821444E-3</v>
      </c>
      <c r="AA49">
        <f t="shared" si="254"/>
        <v>194755.35629812506</v>
      </c>
      <c r="AB49">
        <f t="shared" si="212"/>
        <v>389.51071259625019</v>
      </c>
      <c r="AC49" s="136">
        <f t="shared" si="255"/>
        <v>3.895107125962502E-7</v>
      </c>
      <c r="AD49" s="136">
        <f t="shared" si="256"/>
        <v>3.8951071259625016E-4</v>
      </c>
    </row>
    <row r="50" spans="1:107">
      <c r="A50" s="110" t="s">
        <v>397</v>
      </c>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c r="CZ50" s="110"/>
      <c r="DA50" s="110"/>
      <c r="DB50" s="110"/>
      <c r="DC50" s="110"/>
    </row>
    <row r="51" spans="1:107" ht="75">
      <c r="A51" s="110" t="s">
        <v>11</v>
      </c>
      <c r="B51" s="110" t="s">
        <v>16</v>
      </c>
      <c r="C51" s="110" t="s">
        <v>28</v>
      </c>
      <c r="D51" s="110" t="s">
        <v>26</v>
      </c>
      <c r="E51" s="110" t="s">
        <v>253</v>
      </c>
      <c r="F51" s="111" t="s">
        <v>261</v>
      </c>
      <c r="G51" s="112" t="s">
        <v>391</v>
      </c>
      <c r="H51" s="113" t="s">
        <v>271</v>
      </c>
      <c r="I51" s="114" t="s">
        <v>293</v>
      </c>
      <c r="J51" s="114" t="s">
        <v>292</v>
      </c>
      <c r="K51" s="115" t="s">
        <v>273</v>
      </c>
      <c r="L51" s="112" t="s">
        <v>274</v>
      </c>
      <c r="M51" s="112" t="s">
        <v>335</v>
      </c>
      <c r="N51" s="111" t="s">
        <v>338</v>
      </c>
      <c r="O51" s="115" t="s">
        <v>392</v>
      </c>
      <c r="P51" s="113" t="s">
        <v>291</v>
      </c>
      <c r="Q51" s="114" t="s">
        <v>294</v>
      </c>
      <c r="R51" s="114" t="s">
        <v>295</v>
      </c>
      <c r="S51" s="116" t="s">
        <v>296</v>
      </c>
      <c r="T51" s="115" t="s">
        <v>297</v>
      </c>
      <c r="U51" s="117" t="s">
        <v>344</v>
      </c>
      <c r="V51" s="115" t="s">
        <v>393</v>
      </c>
      <c r="W51" s="118" t="s">
        <v>394</v>
      </c>
      <c r="X51" s="119" t="s">
        <v>318</v>
      </c>
      <c r="Y51" s="97" t="s">
        <v>428</v>
      </c>
      <c r="Z51" s="97" t="s">
        <v>424</v>
      </c>
      <c r="AA51" t="s">
        <v>395</v>
      </c>
      <c r="AB51" t="s">
        <v>427</v>
      </c>
      <c r="AC51" s="97" t="s">
        <v>428</v>
      </c>
      <c r="AD51" s="97" t="s">
        <v>424</v>
      </c>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row>
    <row r="52" spans="1:107">
      <c r="A52" s="110">
        <v>2013</v>
      </c>
      <c r="B52" s="109">
        <v>9784</v>
      </c>
      <c r="C52" s="120">
        <v>18.3</v>
      </c>
      <c r="D52" s="121">
        <v>165</v>
      </c>
      <c r="E52" s="120">
        <v>65138</v>
      </c>
      <c r="F52" s="92">
        <f>FE!$C$24</f>
        <v>10</v>
      </c>
      <c r="G52" s="87">
        <f>E52*F52</f>
        <v>651380</v>
      </c>
      <c r="H52" s="122">
        <v>1172484</v>
      </c>
      <c r="I52" s="123">
        <v>1E-3</v>
      </c>
      <c r="J52" s="123">
        <v>1.1719999999999999</v>
      </c>
      <c r="K52" s="87">
        <v>0.94</v>
      </c>
      <c r="L52" s="110">
        <v>0.26</v>
      </c>
      <c r="M52" s="110">
        <v>35</v>
      </c>
      <c r="N52" s="124">
        <v>38.28</v>
      </c>
      <c r="O52" s="110">
        <v>2493285.0099999998</v>
      </c>
      <c r="P52" s="125">
        <v>2493285.0099999998</v>
      </c>
      <c r="Q52" s="126">
        <v>2.5000000000000001E-3</v>
      </c>
      <c r="R52" s="127">
        <v>2.4929999999999999</v>
      </c>
      <c r="S52" s="128">
        <v>0.46</v>
      </c>
      <c r="T52">
        <f>((E52*$D52)/1000)*$S52*365</f>
        <v>1804550.5830000001</v>
      </c>
      <c r="U52" s="128">
        <v>0.02</v>
      </c>
      <c r="V52">
        <f>((T52*$U52)*(44/28))</f>
        <v>56714.44689428572</v>
      </c>
      <c r="W52" s="94">
        <f t="shared" ref="W52:W56" si="260">V52</f>
        <v>56714.44689428572</v>
      </c>
      <c r="X52" s="99">
        <f t="shared" ref="X52:X56" si="261">W52</f>
        <v>56714.44689428572</v>
      </c>
      <c r="Y52" s="101">
        <f t="shared" ref="Y52:Y56" si="262">X52*10^-9</f>
        <v>5.6714446894285723E-5</v>
      </c>
      <c r="Z52" s="100">
        <f t="shared" ref="Z52:Z56" si="263">X52*10^-6</f>
        <v>5.6714446894285717E-2</v>
      </c>
      <c r="AA52">
        <f t="shared" ref="AA52:AA56" si="264">T52-(T52*U52)</f>
        <v>1768459.57134</v>
      </c>
      <c r="AB52">
        <f t="shared" si="212"/>
        <v>3536.9191426800007</v>
      </c>
      <c r="AC52" s="136">
        <f>AB52*10^-9</f>
        <v>3.5369191426800008E-6</v>
      </c>
      <c r="AD52" s="136">
        <f>AB52*10^-6</f>
        <v>3.5369191426800005E-3</v>
      </c>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row>
    <row r="53" spans="1:107">
      <c r="A53" s="110">
        <v>2014</v>
      </c>
      <c r="B53" s="109">
        <v>9299.5</v>
      </c>
      <c r="C53" s="120">
        <v>18.600000000000001</v>
      </c>
      <c r="D53" s="121">
        <v>165</v>
      </c>
      <c r="E53" s="120">
        <v>63863</v>
      </c>
      <c r="F53" s="92">
        <f>FE!$C$24</f>
        <v>10</v>
      </c>
      <c r="G53" s="87">
        <f t="shared" ref="G53:G56" si="265">E53*F53</f>
        <v>638630</v>
      </c>
      <c r="H53" s="122">
        <v>1149534</v>
      </c>
      <c r="I53" s="123">
        <v>1E-3</v>
      </c>
      <c r="J53" s="123">
        <v>1.1499999999999999</v>
      </c>
      <c r="K53" s="87">
        <v>0.94</v>
      </c>
      <c r="L53" s="110">
        <v>0.26</v>
      </c>
      <c r="M53" s="110">
        <v>35</v>
      </c>
      <c r="N53" s="124">
        <v>38.28</v>
      </c>
      <c r="O53" s="110">
        <v>2444481.88</v>
      </c>
      <c r="P53" s="125">
        <v>2444481.88</v>
      </c>
      <c r="Q53" s="126">
        <v>2.3999999999999998E-3</v>
      </c>
      <c r="R53" s="127">
        <v>2.444</v>
      </c>
      <c r="S53" s="128">
        <v>0.46</v>
      </c>
      <c r="T53">
        <f t="shared" ref="T53:T56" si="266">((E53*$D53)/1000)*$S53*365</f>
        <v>1769228.6205000002</v>
      </c>
      <c r="U53" s="128">
        <v>0.02</v>
      </c>
      <c r="V53">
        <f t="shared" ref="V53:V56" si="267">((T53*$U53)*(44/28))</f>
        <v>55604.328072857155</v>
      </c>
      <c r="W53" s="94">
        <f t="shared" si="260"/>
        <v>55604.328072857155</v>
      </c>
      <c r="X53" s="99">
        <f t="shared" si="261"/>
        <v>55604.328072857155</v>
      </c>
      <c r="Y53" s="101">
        <f t="shared" si="262"/>
        <v>5.5604328072857162E-5</v>
      </c>
      <c r="Z53" s="100">
        <f t="shared" si="263"/>
        <v>5.5604328072857152E-2</v>
      </c>
      <c r="AA53">
        <f t="shared" si="264"/>
        <v>1733844.0480900002</v>
      </c>
      <c r="AB53">
        <f t="shared" si="212"/>
        <v>3467.6880961800007</v>
      </c>
      <c r="AC53" s="136">
        <f t="shared" ref="AC53:AC56" si="268">AB53*10^-9</f>
        <v>3.4676880961800007E-6</v>
      </c>
      <c r="AD53" s="136">
        <f t="shared" ref="AD53:AD56" si="269">AB53*10^-6</f>
        <v>3.4676880961800006E-3</v>
      </c>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row>
    <row r="54" spans="1:107">
      <c r="A54" s="110">
        <v>2015</v>
      </c>
      <c r="B54" s="109">
        <v>9541.75</v>
      </c>
      <c r="C54" s="120">
        <v>19</v>
      </c>
      <c r="D54" s="121">
        <v>165</v>
      </c>
      <c r="E54" s="120">
        <v>64500.5</v>
      </c>
      <c r="F54" s="92">
        <f>FE!$C$24</f>
        <v>10</v>
      </c>
      <c r="G54" s="87">
        <f t="shared" si="265"/>
        <v>645005</v>
      </c>
      <c r="H54" s="122">
        <v>1161009</v>
      </c>
      <c r="I54" s="123">
        <v>1E-3</v>
      </c>
      <c r="J54" s="123">
        <v>1.161</v>
      </c>
      <c r="K54" s="87">
        <v>0.94</v>
      </c>
      <c r="L54" s="110">
        <v>0.26</v>
      </c>
      <c r="M54" s="110">
        <v>39</v>
      </c>
      <c r="N54" s="124">
        <v>42.65</v>
      </c>
      <c r="O54" s="110">
        <v>2751041.55</v>
      </c>
      <c r="P54" s="125">
        <v>2751041.55</v>
      </c>
      <c r="Q54" s="126">
        <v>2.8E-3</v>
      </c>
      <c r="R54" s="127">
        <v>2.7509999999999999</v>
      </c>
      <c r="S54" s="128">
        <v>0.46</v>
      </c>
      <c r="T54">
        <f t="shared" si="266"/>
        <v>1786889.6017500001</v>
      </c>
      <c r="U54" s="128">
        <v>0.02</v>
      </c>
      <c r="V54">
        <f t="shared" si="267"/>
        <v>56159.387483571438</v>
      </c>
      <c r="W54" s="94">
        <f t="shared" si="260"/>
        <v>56159.387483571438</v>
      </c>
      <c r="X54" s="99">
        <f t="shared" si="261"/>
        <v>56159.387483571438</v>
      </c>
      <c r="Y54" s="101">
        <f t="shared" si="262"/>
        <v>5.6159387483571442E-5</v>
      </c>
      <c r="Z54" s="100">
        <f t="shared" si="263"/>
        <v>5.6159387483571438E-2</v>
      </c>
      <c r="AA54">
        <f t="shared" si="264"/>
        <v>1751151.8097150002</v>
      </c>
      <c r="AB54">
        <f t="shared" si="212"/>
        <v>3502.3036194300007</v>
      </c>
      <c r="AC54" s="136">
        <f t="shared" si="268"/>
        <v>3.5023036194300009E-6</v>
      </c>
      <c r="AD54" s="136">
        <f t="shared" si="269"/>
        <v>3.5023036194300004E-3</v>
      </c>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row>
    <row r="55" spans="1:107">
      <c r="A55" s="110">
        <v>2016</v>
      </c>
      <c r="B55" s="109">
        <v>9420.625</v>
      </c>
      <c r="C55" s="120">
        <v>19.100000000000001</v>
      </c>
      <c r="D55" s="121">
        <v>165</v>
      </c>
      <c r="E55" s="120">
        <v>64181.75</v>
      </c>
      <c r="F55" s="92">
        <f>FE!$C$24</f>
        <v>10</v>
      </c>
      <c r="G55" s="87">
        <f t="shared" si="265"/>
        <v>641817.5</v>
      </c>
      <c r="H55" s="122">
        <v>1155271.5</v>
      </c>
      <c r="I55" s="123">
        <v>1E-3</v>
      </c>
      <c r="J55" s="123">
        <v>1.155</v>
      </c>
      <c r="K55" s="87">
        <v>0.94</v>
      </c>
      <c r="L55" s="110">
        <v>0.26</v>
      </c>
      <c r="M55" s="110">
        <v>39</v>
      </c>
      <c r="N55" s="124">
        <v>42.65</v>
      </c>
      <c r="O55" s="110">
        <v>2737446.4</v>
      </c>
      <c r="P55" s="125">
        <v>2737446.4</v>
      </c>
      <c r="Q55" s="126">
        <v>2.7000000000000001E-3</v>
      </c>
      <c r="R55" s="127">
        <v>2.7370000000000001</v>
      </c>
      <c r="S55" s="128">
        <v>0.46</v>
      </c>
      <c r="T55">
        <f t="shared" si="266"/>
        <v>1778059.1111250001</v>
      </c>
      <c r="U55" s="128">
        <v>0.02</v>
      </c>
      <c r="V55">
        <f t="shared" si="267"/>
        <v>55881.857778214282</v>
      </c>
      <c r="W55" s="94">
        <f t="shared" si="260"/>
        <v>55881.857778214282</v>
      </c>
      <c r="X55" s="99">
        <f t="shared" si="261"/>
        <v>55881.857778214282</v>
      </c>
      <c r="Y55" s="101">
        <f t="shared" si="262"/>
        <v>5.5881857778214285E-5</v>
      </c>
      <c r="Z55" s="100">
        <f t="shared" si="263"/>
        <v>5.5881857778214278E-2</v>
      </c>
      <c r="AA55">
        <f t="shared" si="264"/>
        <v>1742497.9289025001</v>
      </c>
      <c r="AB55">
        <f t="shared" si="212"/>
        <v>3484.9958578050005</v>
      </c>
      <c r="AC55" s="136">
        <f t="shared" si="268"/>
        <v>3.4849958578050008E-6</v>
      </c>
      <c r="AD55" s="136">
        <f t="shared" si="269"/>
        <v>3.4849958578050005E-3</v>
      </c>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row>
    <row r="56" spans="1:107">
      <c r="A56" s="110">
        <v>2017</v>
      </c>
      <c r="B56" s="109">
        <v>9481.1875</v>
      </c>
      <c r="C56" s="120">
        <v>19.399999999999999</v>
      </c>
      <c r="D56" s="121">
        <v>165</v>
      </c>
      <c r="E56" s="120">
        <v>64341.13</v>
      </c>
      <c r="F56" s="92">
        <f>FE!$C$24</f>
        <v>10</v>
      </c>
      <c r="G56" s="87">
        <f t="shared" si="265"/>
        <v>643411.29999999993</v>
      </c>
      <c r="H56" s="122">
        <v>1158140.25</v>
      </c>
      <c r="I56" s="123">
        <v>1E-3</v>
      </c>
      <c r="J56" s="123">
        <v>1.1579999999999999</v>
      </c>
      <c r="K56" s="87">
        <v>0.94</v>
      </c>
      <c r="L56" s="110">
        <v>0.26</v>
      </c>
      <c r="M56" s="110">
        <v>39</v>
      </c>
      <c r="N56" s="124">
        <v>42.65</v>
      </c>
      <c r="O56" s="110">
        <v>2744243.97</v>
      </c>
      <c r="P56" s="125">
        <v>2744243.97</v>
      </c>
      <c r="Q56" s="126">
        <v>2.7000000000000001E-3</v>
      </c>
      <c r="R56" s="127">
        <v>2.7440000000000002</v>
      </c>
      <c r="S56" s="128">
        <v>0.46</v>
      </c>
      <c r="T56">
        <f t="shared" si="266"/>
        <v>1782474.4949550002</v>
      </c>
      <c r="U56" s="128">
        <v>0.02</v>
      </c>
      <c r="V56">
        <f t="shared" si="267"/>
        <v>56020.626984300012</v>
      </c>
      <c r="W56" s="94">
        <f t="shared" si="260"/>
        <v>56020.626984300012</v>
      </c>
      <c r="X56" s="99">
        <f t="shared" si="261"/>
        <v>56020.626984300012</v>
      </c>
      <c r="Y56" s="101">
        <f t="shared" si="262"/>
        <v>5.6020626984300018E-5</v>
      </c>
      <c r="Z56" s="100">
        <f t="shared" si="263"/>
        <v>5.6020626984300007E-2</v>
      </c>
      <c r="AA56">
        <f t="shared" si="264"/>
        <v>1746825.0050559002</v>
      </c>
      <c r="AB56">
        <f t="shared" si="212"/>
        <v>3493.6500101118004</v>
      </c>
      <c r="AC56" s="136">
        <f t="shared" si="268"/>
        <v>3.4936500101118006E-6</v>
      </c>
      <c r="AD56" s="136">
        <f t="shared" si="269"/>
        <v>3.4936500101118003E-3</v>
      </c>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row>
    <row r="57" spans="1:107">
      <c r="A57" t="s">
        <v>401</v>
      </c>
      <c r="AB57">
        <f t="shared" si="212"/>
        <v>0</v>
      </c>
    </row>
    <row r="58" spans="1:107" ht="90">
      <c r="A58" t="s">
        <v>11</v>
      </c>
      <c r="B58" t="s">
        <v>16</v>
      </c>
      <c r="C58" t="s">
        <v>28</v>
      </c>
      <c r="D58" t="s">
        <v>26</v>
      </c>
      <c r="E58" t="s">
        <v>416</v>
      </c>
      <c r="F58" t="s">
        <v>417</v>
      </c>
      <c r="G58" s="95" t="s">
        <v>339</v>
      </c>
      <c r="H58" s="57" t="s">
        <v>402</v>
      </c>
      <c r="I58" s="93" t="s">
        <v>403</v>
      </c>
      <c r="J58" s="89" t="s">
        <v>408</v>
      </c>
      <c r="K58" s="97" t="s">
        <v>409</v>
      </c>
      <c r="L58" s="97" t="s">
        <v>410</v>
      </c>
      <c r="M58" s="102" t="s">
        <v>296</v>
      </c>
      <c r="N58" s="86" t="s">
        <v>411</v>
      </c>
      <c r="O58" s="104" t="s">
        <v>404</v>
      </c>
      <c r="P58" s="104" t="s">
        <v>405</v>
      </c>
      <c r="Q58" s="104" t="s">
        <v>406</v>
      </c>
      <c r="R58" s="104" t="s">
        <v>407</v>
      </c>
      <c r="S58" s="86" t="s">
        <v>412</v>
      </c>
      <c r="T58" s="86" t="s">
        <v>413</v>
      </c>
      <c r="U58" s="86" t="s">
        <v>414</v>
      </c>
      <c r="V58" s="93" t="s">
        <v>311</v>
      </c>
      <c r="W58" s="93" t="s">
        <v>311</v>
      </c>
      <c r="X58" s="105" t="s">
        <v>318</v>
      </c>
      <c r="Y58" s="97" t="s">
        <v>428</v>
      </c>
      <c r="Z58" s="97" t="s">
        <v>424</v>
      </c>
      <c r="AA58" t="s">
        <v>395</v>
      </c>
      <c r="AB58" t="s">
        <v>427</v>
      </c>
      <c r="AC58" s="97" t="s">
        <v>428</v>
      </c>
      <c r="AD58" s="97" t="s">
        <v>424</v>
      </c>
    </row>
    <row r="59" spans="1:107">
      <c r="A59">
        <v>2013</v>
      </c>
      <c r="B59" s="1">
        <v>429644</v>
      </c>
      <c r="C59" s="87">
        <v>18.3</v>
      </c>
      <c r="D59" s="87">
        <v>1.8</v>
      </c>
      <c r="E59" s="87">
        <v>275</v>
      </c>
      <c r="F59" s="87">
        <f>(B59)*E59/365</f>
        <v>323704.38356164383</v>
      </c>
      <c r="G59" s="96">
        <f>FE!$C$46</f>
        <v>0.03</v>
      </c>
      <c r="H59">
        <f>F59*G59</f>
        <v>9711.131506849315</v>
      </c>
      <c r="I59" s="94">
        <f>H59</f>
        <v>9711.131506849315</v>
      </c>
      <c r="J59" s="99">
        <f>I59</f>
        <v>9711.131506849315</v>
      </c>
      <c r="K59" s="101">
        <f>J59*10^-9</f>
        <v>9.7111315068493155E-6</v>
      </c>
      <c r="L59" s="100">
        <f>J59*10^-6</f>
        <v>9.7111315068493138E-3</v>
      </c>
      <c r="M59" s="103">
        <f>FE!$C$120</f>
        <v>0.83</v>
      </c>
      <c r="N59">
        <f>((F59*$D59)/1000)*$M59*365</f>
        <v>176519.23739999998</v>
      </c>
      <c r="O59" s="103">
        <f>FE!$B$148</f>
        <v>1E-3</v>
      </c>
      <c r="P59" s="103">
        <f>FE!$B$134</f>
        <v>5.0000000000000001E-3</v>
      </c>
      <c r="Q59" s="103">
        <f>FE!$C$184</f>
        <v>0.01</v>
      </c>
      <c r="R59" s="103">
        <f>FE!$E$169</f>
        <v>55</v>
      </c>
      <c r="S59">
        <f>((N59*$O59)*(44/28))</f>
        <v>277.38737305714284</v>
      </c>
      <c r="T59">
        <f>((N59-(N59*$O59))*$P59*(44/28))</f>
        <v>1385.5499284204284</v>
      </c>
      <c r="U59" s="130">
        <f>(N59-(O59*N59)-(P59*N59)*(R59/100))*Q59*(44/28)</f>
        <v>2763.471704081785</v>
      </c>
      <c r="V59" s="94">
        <f>S59+T59</f>
        <v>1662.9373014775713</v>
      </c>
      <c r="W59" s="94">
        <f>V59</f>
        <v>1662.9373014775713</v>
      </c>
      <c r="X59" s="99">
        <f>V59+W59</f>
        <v>3325.8746029551426</v>
      </c>
      <c r="Y59" s="101">
        <f>X59*10^-9</f>
        <v>3.3258746029551429E-6</v>
      </c>
      <c r="Z59" s="100">
        <f>X59*10^-6</f>
        <v>3.3258746029551423E-3</v>
      </c>
      <c r="AA59">
        <f>N59-(N59*O59)-(N59*P59)</f>
        <v>175460.12197559999</v>
      </c>
      <c r="AB59">
        <f t="shared" si="212"/>
        <v>350.92024395120001</v>
      </c>
      <c r="AC59" s="136">
        <f>AB59*10^-9</f>
        <v>3.509202439512E-7</v>
      </c>
      <c r="AD59" s="136">
        <f>AB59*10^-6</f>
        <v>3.5092024395120001E-4</v>
      </c>
    </row>
    <row r="60" spans="1:107">
      <c r="A60">
        <v>2014</v>
      </c>
      <c r="B60" s="2">
        <v>527988</v>
      </c>
      <c r="C60" s="87">
        <v>18.600000000000001</v>
      </c>
      <c r="D60" s="87">
        <v>1.8</v>
      </c>
      <c r="E60" s="87">
        <v>275</v>
      </c>
      <c r="F60" s="87">
        <f t="shared" ref="F60:F63" si="270">(B60)*E60/365</f>
        <v>397799.17808219179</v>
      </c>
      <c r="G60" s="96">
        <f>FE!$C$46</f>
        <v>0.03</v>
      </c>
      <c r="H60">
        <f t="shared" ref="H60:H63" si="271">F60*G60</f>
        <v>11933.975342465754</v>
      </c>
      <c r="I60" s="94">
        <f t="shared" ref="I60:J63" si="272">H60</f>
        <v>11933.975342465754</v>
      </c>
      <c r="J60" s="99">
        <f t="shared" si="272"/>
        <v>11933.975342465754</v>
      </c>
      <c r="K60" s="101">
        <f t="shared" ref="K60:K63" si="273">J60*10^-9</f>
        <v>1.1933975342465754E-5</v>
      </c>
      <c r="L60" s="100">
        <f t="shared" ref="L60:L63" si="274">J60*10^-6</f>
        <v>1.1933975342465753E-2</v>
      </c>
      <c r="M60" s="103">
        <f>FE!$C$120</f>
        <v>0.83</v>
      </c>
      <c r="N60">
        <f>((F60*$D60)/1000)*$M60*365</f>
        <v>216923.86980000001</v>
      </c>
      <c r="O60" s="103">
        <f>FE!$B$148</f>
        <v>1E-3</v>
      </c>
      <c r="P60" s="103">
        <f>FE!$B$134</f>
        <v>5.0000000000000001E-3</v>
      </c>
      <c r="Q60" s="103">
        <f>FE!$C$184</f>
        <v>0.01</v>
      </c>
      <c r="R60" s="103">
        <f>FE!$E$169</f>
        <v>55</v>
      </c>
      <c r="S60">
        <f>((N60*$O60)*(44/28))</f>
        <v>340.88036682857143</v>
      </c>
      <c r="T60">
        <f t="shared" ref="T60:T63" si="275">((N60-(N60*$O60))*$P60*(44/28))</f>
        <v>1702.6974323087145</v>
      </c>
      <c r="U60" s="130">
        <f t="shared" ref="U60:U63" si="276">(N60-(O60*N60)-(P60*N60)*(R60/100))*Q60*(44/28)</f>
        <v>3396.0206545296428</v>
      </c>
      <c r="V60" s="94">
        <f t="shared" ref="V60:V63" si="277">S60+T60</f>
        <v>2043.5777991372859</v>
      </c>
      <c r="W60" s="94">
        <f t="shared" ref="W60:W63" si="278">V60</f>
        <v>2043.5777991372859</v>
      </c>
      <c r="X60" s="99">
        <f t="shared" ref="X60:X63" si="279">V60+W60</f>
        <v>4087.1555982745717</v>
      </c>
      <c r="Y60" s="101">
        <f t="shared" ref="Y60:Y63" si="280">X60*10^-9</f>
        <v>4.0871555982745722E-6</v>
      </c>
      <c r="Z60" s="100">
        <f t="shared" ref="Z60:Z63" si="281">X60*10^-6</f>
        <v>4.0871555982745717E-3</v>
      </c>
      <c r="AA60">
        <f t="shared" ref="AA60:AA63" si="282">N60-(N60*O60)-(N60*P60)</f>
        <v>215622.32658120003</v>
      </c>
      <c r="AB60">
        <f t="shared" si="212"/>
        <v>431.24465316240008</v>
      </c>
      <c r="AC60" s="136">
        <f t="shared" ref="AC60:AC63" si="283">AB60*10^-9</f>
        <v>4.3124465316240012E-7</v>
      </c>
      <c r="AD60" s="136">
        <f t="shared" ref="AD60:AD63" si="284">AB60*10^-6</f>
        <v>4.3124465316240004E-4</v>
      </c>
    </row>
    <row r="61" spans="1:107">
      <c r="A61">
        <v>2015</v>
      </c>
      <c r="B61" s="2">
        <v>576019</v>
      </c>
      <c r="C61" s="87">
        <v>19</v>
      </c>
      <c r="D61" s="87">
        <v>1.8</v>
      </c>
      <c r="E61" s="87">
        <v>275</v>
      </c>
      <c r="F61" s="87">
        <f t="shared" si="270"/>
        <v>433986.91780821915</v>
      </c>
      <c r="G61" s="96">
        <f>FE!$C$46</f>
        <v>0.03</v>
      </c>
      <c r="H61">
        <f t="shared" si="271"/>
        <v>13019.607534246574</v>
      </c>
      <c r="I61" s="94">
        <f t="shared" si="272"/>
        <v>13019.607534246574</v>
      </c>
      <c r="J61" s="99">
        <f t="shared" si="272"/>
        <v>13019.607534246574</v>
      </c>
      <c r="K61" s="101">
        <f t="shared" si="273"/>
        <v>1.3019607534246574E-5</v>
      </c>
      <c r="L61" s="100">
        <f t="shared" si="274"/>
        <v>1.3019607534246573E-2</v>
      </c>
      <c r="M61" s="103">
        <f>FE!$C$120</f>
        <v>0.83</v>
      </c>
      <c r="N61">
        <f>((F61*$D61)/1000)*$M61*365</f>
        <v>236657.40614999997</v>
      </c>
      <c r="O61" s="103">
        <f>FE!$B$148</f>
        <v>1E-3</v>
      </c>
      <c r="P61" s="103">
        <f>FE!$B$134</f>
        <v>5.0000000000000001E-3</v>
      </c>
      <c r="Q61" s="103">
        <f>FE!$C$184</f>
        <v>0.01</v>
      </c>
      <c r="R61" s="103">
        <f>FE!$E$169</f>
        <v>55</v>
      </c>
      <c r="S61">
        <f>((N61*$O61)*(44/28))</f>
        <v>371.89020966428563</v>
      </c>
      <c r="T61">
        <f t="shared" si="275"/>
        <v>1857.5915972731066</v>
      </c>
      <c r="U61" s="130">
        <f t="shared" si="276"/>
        <v>3704.9562137804451</v>
      </c>
      <c r="V61" s="94">
        <f t="shared" si="277"/>
        <v>2229.4818069373923</v>
      </c>
      <c r="W61" s="94">
        <f t="shared" si="278"/>
        <v>2229.4818069373923</v>
      </c>
      <c r="X61" s="99">
        <f t="shared" si="279"/>
        <v>4458.9636138747846</v>
      </c>
      <c r="Y61" s="101">
        <f t="shared" si="280"/>
        <v>4.4589636138747852E-6</v>
      </c>
      <c r="Z61" s="100">
        <f t="shared" si="281"/>
        <v>4.4589636138747842E-3</v>
      </c>
      <c r="AA61">
        <f t="shared" si="282"/>
        <v>235237.46171309994</v>
      </c>
      <c r="AB61">
        <f t="shared" si="212"/>
        <v>470.47492342619989</v>
      </c>
      <c r="AC61" s="136">
        <f t="shared" si="283"/>
        <v>4.7047492342619995E-7</v>
      </c>
      <c r="AD61" s="136">
        <f t="shared" si="284"/>
        <v>4.7047492342619989E-4</v>
      </c>
    </row>
    <row r="62" spans="1:107">
      <c r="A62">
        <v>2016</v>
      </c>
      <c r="B62" s="2">
        <v>616823</v>
      </c>
      <c r="C62" s="87">
        <v>19.100000000000001</v>
      </c>
      <c r="D62" s="87">
        <v>1.8</v>
      </c>
      <c r="E62" s="87">
        <v>275</v>
      </c>
      <c r="F62" s="87">
        <f t="shared" si="270"/>
        <v>464729.65753424657</v>
      </c>
      <c r="G62" s="96">
        <f>FE!$C$46</f>
        <v>0.03</v>
      </c>
      <c r="H62">
        <f t="shared" si="271"/>
        <v>13941.889726027397</v>
      </c>
      <c r="I62" s="94">
        <f t="shared" si="272"/>
        <v>13941.889726027397</v>
      </c>
      <c r="J62" s="99">
        <f t="shared" si="272"/>
        <v>13941.889726027397</v>
      </c>
      <c r="K62" s="101">
        <f t="shared" si="273"/>
        <v>1.3941889726027399E-5</v>
      </c>
      <c r="L62" s="100">
        <f t="shared" si="274"/>
        <v>1.3941889726027397E-2</v>
      </c>
      <c r="M62" s="103">
        <f>FE!$C$120</f>
        <v>0.83</v>
      </c>
      <c r="N62">
        <f>((F62*$D62)/1000)*$M62*365</f>
        <v>253421.72954999999</v>
      </c>
      <c r="O62" s="103">
        <f>FE!$B$148</f>
        <v>1E-3</v>
      </c>
      <c r="P62" s="103">
        <f>FE!$B$134</f>
        <v>5.0000000000000001E-3</v>
      </c>
      <c r="Q62" s="103">
        <f>FE!$C$184</f>
        <v>0.01</v>
      </c>
      <c r="R62" s="103">
        <f>FE!$E$169</f>
        <v>55</v>
      </c>
      <c r="S62">
        <f>((N62*$O62)*(44/28))</f>
        <v>398.23414643571425</v>
      </c>
      <c r="T62">
        <f t="shared" si="275"/>
        <v>1989.1795614463927</v>
      </c>
      <c r="U62" s="130">
        <f t="shared" si="276"/>
        <v>3967.4076838658034</v>
      </c>
      <c r="V62" s="94">
        <f t="shared" si="277"/>
        <v>2387.4137078821068</v>
      </c>
      <c r="W62" s="94">
        <f t="shared" si="278"/>
        <v>2387.4137078821068</v>
      </c>
      <c r="X62" s="99">
        <f t="shared" si="279"/>
        <v>4774.8274157642136</v>
      </c>
      <c r="Y62" s="101">
        <f t="shared" si="280"/>
        <v>4.7748274157642139E-6</v>
      </c>
      <c r="Z62" s="100">
        <f t="shared" si="281"/>
        <v>4.7748274157642136E-3</v>
      </c>
      <c r="AA62">
        <f t="shared" si="282"/>
        <v>251901.1991727</v>
      </c>
      <c r="AB62">
        <f t="shared" si="212"/>
        <v>503.80239834540004</v>
      </c>
      <c r="AC62" s="136">
        <f t="shared" si="283"/>
        <v>5.0380239834540009E-7</v>
      </c>
      <c r="AD62" s="136">
        <f t="shared" si="284"/>
        <v>5.0380239834539999E-4</v>
      </c>
    </row>
    <row r="63" spans="1:107">
      <c r="A63">
        <v>2017</v>
      </c>
      <c r="B63" s="2">
        <v>632513</v>
      </c>
      <c r="C63" s="87">
        <v>19.399999999999999</v>
      </c>
      <c r="D63" s="87">
        <v>1.8</v>
      </c>
      <c r="E63" s="87">
        <v>275</v>
      </c>
      <c r="F63" s="87">
        <f t="shared" si="270"/>
        <v>476550.89041095891</v>
      </c>
      <c r="G63" s="96">
        <f>FE!$C$46</f>
        <v>0.03</v>
      </c>
      <c r="H63">
        <f t="shared" si="271"/>
        <v>14296.526712328767</v>
      </c>
      <c r="I63" s="94">
        <f t="shared" si="272"/>
        <v>14296.526712328767</v>
      </c>
      <c r="J63" s="99">
        <f t="shared" si="272"/>
        <v>14296.526712328767</v>
      </c>
      <c r="K63" s="101">
        <f t="shared" si="273"/>
        <v>1.4296526712328768E-5</v>
      </c>
      <c r="L63" s="100">
        <f t="shared" si="274"/>
        <v>1.4296526712328766E-2</v>
      </c>
      <c r="M63" s="103">
        <f>FE!$C$120</f>
        <v>0.83</v>
      </c>
      <c r="N63">
        <f>((F63*$D63)/1000)*$M63*365</f>
        <v>259867.96604999999</v>
      </c>
      <c r="O63" s="103">
        <f>FE!$B$148</f>
        <v>1E-3</v>
      </c>
      <c r="P63" s="103">
        <f>FE!$B$134</f>
        <v>5.0000000000000001E-3</v>
      </c>
      <c r="Q63" s="103">
        <f>FE!$C$184</f>
        <v>0.01</v>
      </c>
      <c r="R63" s="103">
        <f>FE!$E$169</f>
        <v>55</v>
      </c>
      <c r="S63">
        <f>((N63*$O63)*(44/28))</f>
        <v>408.36394665</v>
      </c>
      <c r="T63">
        <f t="shared" si="275"/>
        <v>2039.77791351675</v>
      </c>
      <c r="U63" s="130">
        <f t="shared" si="276"/>
        <v>4068.3258185006252</v>
      </c>
      <c r="V63" s="94">
        <f t="shared" si="277"/>
        <v>2448.1418601667501</v>
      </c>
      <c r="W63" s="94">
        <f t="shared" si="278"/>
        <v>2448.1418601667501</v>
      </c>
      <c r="X63" s="99">
        <f t="shared" si="279"/>
        <v>4896.2837203335002</v>
      </c>
      <c r="Y63" s="101">
        <f t="shared" si="280"/>
        <v>4.8962837203335009E-6</v>
      </c>
      <c r="Z63" s="100">
        <f t="shared" si="281"/>
        <v>4.8962837203334999E-3</v>
      </c>
      <c r="AA63">
        <f t="shared" si="282"/>
        <v>258308.75825369998</v>
      </c>
      <c r="AB63">
        <f t="shared" si="212"/>
        <v>516.61751650739996</v>
      </c>
      <c r="AC63" s="136">
        <f t="shared" si="283"/>
        <v>5.1661751650740002E-7</v>
      </c>
      <c r="AD63" s="136">
        <f t="shared" si="284"/>
        <v>5.1661751650739992E-4</v>
      </c>
    </row>
    <row r="64" spans="1:107">
      <c r="A64" t="s">
        <v>415</v>
      </c>
      <c r="AB64">
        <f t="shared" si="212"/>
        <v>0</v>
      </c>
    </row>
    <row r="65" spans="1:30" ht="90">
      <c r="A65" t="s">
        <v>11</v>
      </c>
      <c r="B65" t="s">
        <v>16</v>
      </c>
      <c r="C65" t="s">
        <v>28</v>
      </c>
      <c r="D65" s="86" t="s">
        <v>26</v>
      </c>
      <c r="E65" s="86" t="s">
        <v>418</v>
      </c>
      <c r="F65" t="s">
        <v>417</v>
      </c>
      <c r="G65" s="95" t="s">
        <v>339</v>
      </c>
      <c r="H65" s="57" t="s">
        <v>402</v>
      </c>
      <c r="I65" s="93" t="s">
        <v>403</v>
      </c>
      <c r="J65" s="89" t="s">
        <v>408</v>
      </c>
      <c r="K65" s="97" t="s">
        <v>409</v>
      </c>
      <c r="L65" s="97" t="s">
        <v>410</v>
      </c>
      <c r="M65" s="102" t="s">
        <v>296</v>
      </c>
      <c r="N65" s="86" t="s">
        <v>411</v>
      </c>
      <c r="O65" s="104" t="s">
        <v>404</v>
      </c>
      <c r="P65" s="104" t="s">
        <v>405</v>
      </c>
      <c r="Q65" s="104" t="s">
        <v>406</v>
      </c>
      <c r="R65" s="104" t="s">
        <v>407</v>
      </c>
      <c r="S65" s="86" t="s">
        <v>412</v>
      </c>
      <c r="T65" s="86" t="s">
        <v>413</v>
      </c>
      <c r="U65" s="86" t="s">
        <v>414</v>
      </c>
      <c r="V65" s="93" t="s">
        <v>311</v>
      </c>
      <c r="W65" s="93" t="s">
        <v>311</v>
      </c>
      <c r="X65" s="105" t="s">
        <v>318</v>
      </c>
      <c r="Y65" s="97" t="s">
        <v>428</v>
      </c>
      <c r="Z65" s="97" t="s">
        <v>424</v>
      </c>
      <c r="AA65" t="s">
        <v>395</v>
      </c>
      <c r="AB65" t="s">
        <v>427</v>
      </c>
      <c r="AC65" s="97" t="s">
        <v>428</v>
      </c>
      <c r="AD65" s="97" t="s">
        <v>424</v>
      </c>
    </row>
    <row r="66" spans="1:30">
      <c r="A66">
        <v>2013</v>
      </c>
      <c r="B66" s="1">
        <v>399890</v>
      </c>
      <c r="C66" s="87">
        <v>18.3</v>
      </c>
      <c r="D66" s="87">
        <v>2.69</v>
      </c>
      <c r="E66" s="87">
        <v>49</v>
      </c>
      <c r="F66" s="87">
        <f>(B66)*E66/365</f>
        <v>53683.863013698632</v>
      </c>
      <c r="G66" s="96">
        <f>FE!$D$48</f>
        <v>0.02</v>
      </c>
      <c r="H66">
        <f>F66*G66</f>
        <v>1073.6772602739727</v>
      </c>
      <c r="I66" s="94">
        <f>H66</f>
        <v>1073.6772602739727</v>
      </c>
      <c r="J66" s="99">
        <f>I66</f>
        <v>1073.6772602739727</v>
      </c>
      <c r="K66" s="101">
        <f>J66*10^-9</f>
        <v>1.0736772602739727E-6</v>
      </c>
      <c r="L66" s="100">
        <f>J66*10^-6</f>
        <v>1.0736772602739726E-3</v>
      </c>
      <c r="M66" s="103">
        <f>FE!$C$122</f>
        <v>1.1000000000000001</v>
      </c>
      <c r="N66">
        <f>((F66*$D66)/1000)*$M66*365</f>
        <v>57980.45098999999</v>
      </c>
      <c r="O66" s="103">
        <f>FE!$B$147</f>
        <v>1E-3</v>
      </c>
      <c r="P66" s="103">
        <f>FE!$B$134</f>
        <v>5.0000000000000001E-3</v>
      </c>
      <c r="Q66" s="103">
        <f>FE!$C$184</f>
        <v>0.01</v>
      </c>
      <c r="R66" s="103">
        <f>FE!$E$169</f>
        <v>55</v>
      </c>
      <c r="S66">
        <f>((N66*$O66)*(44/28))</f>
        <v>91.112137269999991</v>
      </c>
      <c r="T66">
        <f>((N66-(N66*$O66))*$P66*(44/28))</f>
        <v>455.10512566364997</v>
      </c>
      <c r="U66" s="130">
        <f>(N66-(O66*N66)-(P66*N66)*(R66/100))*Q66*(44/28)</f>
        <v>907.70466755237487</v>
      </c>
      <c r="V66" s="94">
        <f>S66+T66</f>
        <v>546.21726293364998</v>
      </c>
      <c r="W66" s="94">
        <f>V66</f>
        <v>546.21726293364998</v>
      </c>
      <c r="X66" s="99">
        <f>V66+W66</f>
        <v>1092.4345258673</v>
      </c>
      <c r="Y66" s="101">
        <f>X66*10^-9</f>
        <v>1.0924345258673E-6</v>
      </c>
      <c r="Z66" s="100">
        <f>X66*10^-6</f>
        <v>1.0924345258673E-3</v>
      </c>
      <c r="AA66">
        <f>N66-(N66*O66)-(N66*P66)</f>
        <v>57632.568284059991</v>
      </c>
      <c r="AB66">
        <f t="shared" si="212"/>
        <v>115.26513656812</v>
      </c>
      <c r="AC66" s="136">
        <f>AB66*10^-9</f>
        <v>1.1526513656812E-7</v>
      </c>
      <c r="AD66" s="136">
        <f>AB66*10^-6</f>
        <v>1.1526513656811999E-4</v>
      </c>
    </row>
    <row r="67" spans="1:30">
      <c r="A67">
        <v>2014</v>
      </c>
      <c r="B67" s="2">
        <v>398542</v>
      </c>
      <c r="C67" s="87">
        <v>18.600000000000001</v>
      </c>
      <c r="D67" s="87">
        <v>2.69</v>
      </c>
      <c r="E67" s="87">
        <v>49</v>
      </c>
      <c r="F67" s="87">
        <f t="shared" ref="F67:F70" si="285">(B67)*E67/365</f>
        <v>53502.898630136988</v>
      </c>
      <c r="G67" s="96">
        <f>FE!$D$48</f>
        <v>0.02</v>
      </c>
      <c r="H67">
        <f t="shared" ref="H67:H70" si="286">F67*G67</f>
        <v>1070.0579726027397</v>
      </c>
      <c r="I67" s="94">
        <f t="shared" ref="I67:J70" si="287">H67</f>
        <v>1070.0579726027397</v>
      </c>
      <c r="J67" s="99">
        <f t="shared" si="287"/>
        <v>1070.0579726027397</v>
      </c>
      <c r="K67" s="101">
        <f t="shared" ref="K67:K70" si="288">J67*10^-9</f>
        <v>1.0700579726027397E-6</v>
      </c>
      <c r="L67" s="100">
        <f t="shared" ref="L67:L70" si="289">J67*10^-6</f>
        <v>1.0700579726027396E-3</v>
      </c>
      <c r="M67" s="103">
        <f>FE!$C$122</f>
        <v>1.1000000000000001</v>
      </c>
      <c r="N67">
        <f>((F67*$D67)/1000)*$M67*365</f>
        <v>57785.003122000009</v>
      </c>
      <c r="O67" s="103">
        <f>FE!$B$147</f>
        <v>1E-3</v>
      </c>
      <c r="P67" s="103">
        <f>FE!$B$134</f>
        <v>5.0000000000000001E-3</v>
      </c>
      <c r="Q67" s="103">
        <f>FE!$C$184</f>
        <v>0.01</v>
      </c>
      <c r="R67" s="103">
        <f>FE!$E$169</f>
        <v>55</v>
      </c>
      <c r="S67">
        <f>((N67*$O67)*(44/28))</f>
        <v>90.805004906000022</v>
      </c>
      <c r="T67">
        <f t="shared" ref="T67:T70" si="290">((N67-(N67*$O67))*$P67*(44/28))</f>
        <v>453.57099950547007</v>
      </c>
      <c r="U67" s="130">
        <f t="shared" ref="U67:U70" si="291">(N67-(O67*N67)-(P67*N67)*(R67/100))*Q67*(44/28)</f>
        <v>904.64486137602512</v>
      </c>
      <c r="V67" s="94">
        <f t="shared" ref="V67:V70" si="292">S67+T67</f>
        <v>544.37600441147015</v>
      </c>
      <c r="W67" s="94">
        <f t="shared" ref="W67:W70" si="293">V67</f>
        <v>544.37600441147015</v>
      </c>
      <c r="X67" s="99">
        <f t="shared" ref="X67:X70" si="294">V67+W67</f>
        <v>1088.7520088229403</v>
      </c>
      <c r="Y67" s="101">
        <f t="shared" ref="Y67:Y70" si="295">X67*10^-9</f>
        <v>1.0887520088229404E-6</v>
      </c>
      <c r="Z67" s="100">
        <f t="shared" ref="Z67:Z70" si="296">X67*10^-6</f>
        <v>1.0887520088229403E-3</v>
      </c>
      <c r="AA67">
        <f t="shared" ref="AA67:AA70" si="297">N67-(N67*O67)-(N67*P67)</f>
        <v>57438.293103268006</v>
      </c>
      <c r="AB67">
        <f t="shared" si="212"/>
        <v>114.87658620653602</v>
      </c>
      <c r="AC67" s="136">
        <f t="shared" ref="AC67:AC70" si="298">AB67*10^-9</f>
        <v>1.1487658620653602E-7</v>
      </c>
      <c r="AD67" s="136">
        <f t="shared" ref="AD67:AD70" si="299">AB67*10^-6</f>
        <v>1.1487658620653601E-4</v>
      </c>
    </row>
    <row r="68" spans="1:30">
      <c r="A68">
        <v>2015</v>
      </c>
      <c r="B68" s="2">
        <v>421868</v>
      </c>
      <c r="C68" s="87">
        <v>19</v>
      </c>
      <c r="D68" s="87">
        <v>2.69</v>
      </c>
      <c r="E68" s="87">
        <v>49</v>
      </c>
      <c r="F68" s="87">
        <f t="shared" si="285"/>
        <v>56634.334246575345</v>
      </c>
      <c r="G68" s="96">
        <f>FE!$D$48</f>
        <v>0.02</v>
      </c>
      <c r="H68">
        <f t="shared" si="286"/>
        <v>1132.686684931507</v>
      </c>
      <c r="I68" s="94">
        <f t="shared" si="287"/>
        <v>1132.686684931507</v>
      </c>
      <c r="J68" s="99">
        <f t="shared" si="287"/>
        <v>1132.686684931507</v>
      </c>
      <c r="K68" s="101">
        <f t="shared" si="288"/>
        <v>1.1326866849315071E-6</v>
      </c>
      <c r="L68" s="100">
        <f t="shared" si="289"/>
        <v>1.1326866849315068E-3</v>
      </c>
      <c r="M68" s="103">
        <f>FE!$C$122</f>
        <v>1.1000000000000001</v>
      </c>
      <c r="N68">
        <f>((F68*$D68)/1000)*$M68*365</f>
        <v>61167.063188</v>
      </c>
      <c r="O68" s="103">
        <f>FE!$B$147</f>
        <v>1E-3</v>
      </c>
      <c r="P68" s="103">
        <f>FE!$B$134</f>
        <v>5.0000000000000001E-3</v>
      </c>
      <c r="Q68" s="103">
        <f>FE!$C$184</f>
        <v>0.01</v>
      </c>
      <c r="R68" s="103">
        <f>FE!$E$169</f>
        <v>55</v>
      </c>
      <c r="S68">
        <f>((N68*$O68)*(44/28))</f>
        <v>96.119670724000002</v>
      </c>
      <c r="T68">
        <f t="shared" si="290"/>
        <v>480.11775526638002</v>
      </c>
      <c r="U68" s="130">
        <f t="shared" si="291"/>
        <v>957.59221958785008</v>
      </c>
      <c r="V68" s="94">
        <f t="shared" si="292"/>
        <v>576.23742599037996</v>
      </c>
      <c r="W68" s="94">
        <f t="shared" si="293"/>
        <v>576.23742599037996</v>
      </c>
      <c r="X68" s="99">
        <f t="shared" si="294"/>
        <v>1152.4748519807599</v>
      </c>
      <c r="Y68" s="101">
        <f t="shared" si="295"/>
        <v>1.1524748519807601E-6</v>
      </c>
      <c r="Z68" s="100">
        <f t="shared" si="296"/>
        <v>1.1524748519807599E-3</v>
      </c>
      <c r="AA68">
        <f t="shared" si="297"/>
        <v>60800.060808872004</v>
      </c>
      <c r="AB68">
        <f t="shared" si="212"/>
        <v>121.60012161774401</v>
      </c>
      <c r="AC68" s="136">
        <f t="shared" si="298"/>
        <v>1.2160012161774401E-7</v>
      </c>
      <c r="AD68" s="136">
        <f t="shared" si="299"/>
        <v>1.2160012161774401E-4</v>
      </c>
    </row>
    <row r="69" spans="1:30">
      <c r="A69">
        <v>2016</v>
      </c>
      <c r="B69" s="2">
        <v>441718</v>
      </c>
      <c r="C69" s="87">
        <v>19.100000000000001</v>
      </c>
      <c r="D69" s="87">
        <v>2.69</v>
      </c>
      <c r="E69" s="87">
        <v>49</v>
      </c>
      <c r="F69" s="87">
        <f t="shared" si="285"/>
        <v>59299.128767123286</v>
      </c>
      <c r="G69" s="96">
        <f>FE!$D$48</f>
        <v>0.02</v>
      </c>
      <c r="H69">
        <f t="shared" si="286"/>
        <v>1185.9825753424657</v>
      </c>
      <c r="I69" s="94">
        <f t="shared" si="287"/>
        <v>1185.9825753424657</v>
      </c>
      <c r="J69" s="99">
        <f t="shared" si="287"/>
        <v>1185.9825753424657</v>
      </c>
      <c r="K69" s="101">
        <f t="shared" si="288"/>
        <v>1.1859825753424658E-6</v>
      </c>
      <c r="L69" s="100">
        <f t="shared" si="289"/>
        <v>1.1859825753424656E-3</v>
      </c>
      <c r="M69" s="103">
        <f>FE!$C$122</f>
        <v>1.1000000000000001</v>
      </c>
      <c r="N69">
        <f>((F69*$D69)/1000)*$M69*365</f>
        <v>64045.134537999998</v>
      </c>
      <c r="O69" s="103">
        <f>FE!$B$147</f>
        <v>1E-3</v>
      </c>
      <c r="P69" s="103">
        <f>FE!$B$134</f>
        <v>5.0000000000000001E-3</v>
      </c>
      <c r="Q69" s="103">
        <f>FE!$C$184</f>
        <v>0.01</v>
      </c>
      <c r="R69" s="103">
        <f>FE!$E$169</f>
        <v>55</v>
      </c>
      <c r="S69">
        <f>((N69*$O69)*(44/28))</f>
        <v>100.642354274</v>
      </c>
      <c r="T69">
        <f t="shared" si="290"/>
        <v>502.70855959862996</v>
      </c>
      <c r="U69" s="130">
        <f t="shared" si="291"/>
        <v>1002.6494544547249</v>
      </c>
      <c r="V69" s="94">
        <f t="shared" si="292"/>
        <v>603.35091387262992</v>
      </c>
      <c r="W69" s="94">
        <f t="shared" si="293"/>
        <v>603.35091387262992</v>
      </c>
      <c r="X69" s="99">
        <f t="shared" si="294"/>
        <v>1206.7018277452598</v>
      </c>
      <c r="Y69" s="101">
        <f t="shared" si="295"/>
        <v>1.2067018277452598E-6</v>
      </c>
      <c r="Z69" s="100">
        <f t="shared" si="296"/>
        <v>1.2067018277452598E-3</v>
      </c>
      <c r="AA69">
        <f t="shared" si="297"/>
        <v>63660.863730771998</v>
      </c>
      <c r="AB69">
        <f t="shared" si="212"/>
        <v>127.321727461544</v>
      </c>
      <c r="AC69" s="136">
        <f t="shared" si="298"/>
        <v>1.2732172746154401E-7</v>
      </c>
      <c r="AD69" s="136">
        <f t="shared" si="299"/>
        <v>1.27321727461544E-4</v>
      </c>
    </row>
    <row r="70" spans="1:30">
      <c r="A70">
        <v>2017</v>
      </c>
      <c r="B70" s="2">
        <v>412612</v>
      </c>
      <c r="C70" s="87">
        <v>19.399999999999999</v>
      </c>
      <c r="D70" s="87">
        <v>2.69</v>
      </c>
      <c r="E70" s="87">
        <v>49</v>
      </c>
      <c r="F70" s="87">
        <f t="shared" si="285"/>
        <v>55391.747945205476</v>
      </c>
      <c r="G70" s="96">
        <f>FE!$D$48</f>
        <v>0.02</v>
      </c>
      <c r="H70">
        <f t="shared" si="286"/>
        <v>1107.8349589041095</v>
      </c>
      <c r="I70" s="94">
        <f t="shared" si="287"/>
        <v>1107.8349589041095</v>
      </c>
      <c r="J70" s="99">
        <f t="shared" si="287"/>
        <v>1107.8349589041095</v>
      </c>
      <c r="K70" s="101">
        <f t="shared" si="288"/>
        <v>1.1078349589041096E-6</v>
      </c>
      <c r="L70" s="100">
        <f t="shared" si="289"/>
        <v>1.1078349589041094E-3</v>
      </c>
      <c r="M70" s="103">
        <f>FE!$C$122</f>
        <v>1.1000000000000001</v>
      </c>
      <c r="N70">
        <f>((F70*$D70)/1000)*$M70*365</f>
        <v>59825.026492000005</v>
      </c>
      <c r="O70" s="103">
        <f>FE!$B$147</f>
        <v>1E-3</v>
      </c>
      <c r="P70" s="103">
        <f>FE!$B$134</f>
        <v>5.0000000000000001E-3</v>
      </c>
      <c r="Q70" s="103">
        <f>FE!$C$184</f>
        <v>0.01</v>
      </c>
      <c r="R70" s="103">
        <f>FE!$E$169</f>
        <v>55</v>
      </c>
      <c r="S70">
        <f>((N70*$O70)*(44/28))</f>
        <v>94.010755916000008</v>
      </c>
      <c r="T70">
        <f t="shared" si="290"/>
        <v>469.58372580042004</v>
      </c>
      <c r="U70" s="130">
        <f t="shared" si="291"/>
        <v>936.58215581314994</v>
      </c>
      <c r="V70" s="94">
        <f t="shared" si="292"/>
        <v>563.59448171642009</v>
      </c>
      <c r="W70" s="94">
        <f t="shared" si="293"/>
        <v>563.59448171642009</v>
      </c>
      <c r="X70" s="99">
        <f t="shared" si="294"/>
        <v>1127.1889634328402</v>
      </c>
      <c r="Y70" s="101">
        <f t="shared" si="295"/>
        <v>1.1271889634328403E-6</v>
      </c>
      <c r="Z70" s="100">
        <f t="shared" si="296"/>
        <v>1.1271889634328401E-3</v>
      </c>
      <c r="AA70">
        <f t="shared" si="297"/>
        <v>59466.076333048004</v>
      </c>
      <c r="AB70">
        <f t="shared" si="212"/>
        <v>118.93215266609602</v>
      </c>
      <c r="AC70" s="136">
        <f t="shared" si="298"/>
        <v>1.1893215266609602E-7</v>
      </c>
      <c r="AD70" s="136">
        <f t="shared" si="299"/>
        <v>1.1893215266609601E-4</v>
      </c>
    </row>
    <row r="71" spans="1:30">
      <c r="A71" t="s">
        <v>8</v>
      </c>
    </row>
    <row r="72" spans="1:30" ht="90">
      <c r="A72" t="s">
        <v>11</v>
      </c>
      <c r="B72" t="s">
        <v>16</v>
      </c>
      <c r="C72" t="s">
        <v>28</v>
      </c>
      <c r="D72" s="3" t="s">
        <v>26</v>
      </c>
      <c r="E72" s="131" t="s">
        <v>418</v>
      </c>
      <c r="F72" t="s">
        <v>417</v>
      </c>
      <c r="G72" s="95" t="s">
        <v>339</v>
      </c>
      <c r="H72" s="57" t="s">
        <v>402</v>
      </c>
      <c r="I72" s="93" t="s">
        <v>403</v>
      </c>
      <c r="J72" s="89" t="s">
        <v>408</v>
      </c>
      <c r="K72" s="97" t="s">
        <v>409</v>
      </c>
      <c r="L72" s="97" t="s">
        <v>410</v>
      </c>
      <c r="M72" s="102" t="s">
        <v>296</v>
      </c>
      <c r="N72" s="86" t="s">
        <v>411</v>
      </c>
      <c r="O72" s="104" t="s">
        <v>404</v>
      </c>
      <c r="P72" s="104" t="s">
        <v>405</v>
      </c>
      <c r="Q72" s="104" t="s">
        <v>406</v>
      </c>
      <c r="R72" s="104" t="s">
        <v>407</v>
      </c>
      <c r="S72" s="86" t="s">
        <v>412</v>
      </c>
      <c r="T72" s="86" t="s">
        <v>413</v>
      </c>
      <c r="U72" s="86" t="s">
        <v>414</v>
      </c>
      <c r="V72" s="93" t="s">
        <v>311</v>
      </c>
      <c r="W72" s="93" t="s">
        <v>311</v>
      </c>
      <c r="X72" s="105" t="s">
        <v>318</v>
      </c>
      <c r="Y72" s="97" t="s">
        <v>428</v>
      </c>
      <c r="Z72" s="97" t="s">
        <v>424</v>
      </c>
      <c r="AA72" t="s">
        <v>395</v>
      </c>
      <c r="AB72" t="s">
        <v>427</v>
      </c>
      <c r="AC72" s="97" t="s">
        <v>428</v>
      </c>
      <c r="AD72" s="97" t="s">
        <v>424</v>
      </c>
    </row>
    <row r="73" spans="1:30">
      <c r="A73">
        <v>2013</v>
      </c>
      <c r="B73" s="1">
        <v>146499</v>
      </c>
      <c r="C73" s="87">
        <v>18.3</v>
      </c>
      <c r="D73" s="87">
        <v>9.42</v>
      </c>
      <c r="E73" s="87">
        <v>81</v>
      </c>
      <c r="F73" s="87">
        <f>(B73)*E73/365</f>
        <v>32510.73698630137</v>
      </c>
      <c r="G73" s="96">
        <f>FE!$D$49</f>
        <v>0.03</v>
      </c>
      <c r="H73">
        <f>F73*G73</f>
        <v>975.32210958904102</v>
      </c>
      <c r="I73" s="94">
        <f>H73</f>
        <v>975.32210958904102</v>
      </c>
      <c r="J73" s="99">
        <f>I73</f>
        <v>975.32210958904102</v>
      </c>
      <c r="K73" s="101">
        <f>J73*10^-9</f>
        <v>9.7532210958904117E-7</v>
      </c>
      <c r="L73" s="100">
        <f>J73*10^-6</f>
        <v>9.75322109589041E-4</v>
      </c>
      <c r="M73" s="103">
        <f>FE!$C$123</f>
        <v>0.83</v>
      </c>
      <c r="N73">
        <f>((F73*$D73)/1000)*$M73*365</f>
        <v>92778.783593399989</v>
      </c>
      <c r="O73" s="103">
        <f>FE!$B$147</f>
        <v>1E-3</v>
      </c>
      <c r="P73" s="103">
        <f>FE!$B$134</f>
        <v>5.0000000000000001E-3</v>
      </c>
      <c r="Q73" s="103">
        <f>FE!$C$184</f>
        <v>0.01</v>
      </c>
      <c r="R73" s="103">
        <f>FE!$E$169</f>
        <v>55</v>
      </c>
      <c r="S73">
        <f>((N73*$O73)*(44/28))</f>
        <v>145.79523136105712</v>
      </c>
      <c r="T73">
        <f>((N73-(N73*$O73))*$P73*(44/28))</f>
        <v>728.24718064848037</v>
      </c>
      <c r="U73" s="130">
        <f>(N73-(O73*N73)-(P73*N73)*(R73/100))*Q73*(44/28)</f>
        <v>1452.4849924345315</v>
      </c>
      <c r="V73" s="94">
        <f>S73+T73</f>
        <v>874.04241200953743</v>
      </c>
      <c r="W73" s="94">
        <f>V73</f>
        <v>874.04241200953743</v>
      </c>
      <c r="X73" s="99">
        <f>V73+W73</f>
        <v>1748.0848240190749</v>
      </c>
      <c r="Y73" s="101">
        <f>X73*10^-9</f>
        <v>1.748084824019075E-6</v>
      </c>
      <c r="Z73" s="100">
        <f>X73*10^-6</f>
        <v>1.7480848240190748E-3</v>
      </c>
      <c r="AA73">
        <f>N73-(N73*O73)-(N73*P73)</f>
        <v>92222.110891839591</v>
      </c>
      <c r="AB73">
        <f t="shared" si="212"/>
        <v>184.44422178367921</v>
      </c>
      <c r="AC73" s="136">
        <f>AB73*10^-9</f>
        <v>1.8444422178367921E-7</v>
      </c>
      <c r="AD73" s="136">
        <f>AB73*10^-6</f>
        <v>1.844442217836792E-4</v>
      </c>
    </row>
    <row r="74" spans="1:30">
      <c r="A74">
        <v>2014</v>
      </c>
      <c r="B74" s="2">
        <v>184610</v>
      </c>
      <c r="C74" s="87">
        <v>18.600000000000001</v>
      </c>
      <c r="D74" s="87">
        <v>9.42</v>
      </c>
      <c r="E74" s="87">
        <v>81</v>
      </c>
      <c r="F74" s="87">
        <f t="shared" ref="F74:F77" si="300">(B74)*E74/365</f>
        <v>40968.246575342462</v>
      </c>
      <c r="G74" s="96">
        <f>FE!$D$49</f>
        <v>0.03</v>
      </c>
      <c r="H74">
        <f t="shared" ref="H74:H77" si="301">F74*G74</f>
        <v>1229.0473972602738</v>
      </c>
      <c r="I74" s="94">
        <f t="shared" ref="I74:J74" si="302">H74</f>
        <v>1229.0473972602738</v>
      </c>
      <c r="J74" s="99">
        <f t="shared" si="302"/>
        <v>1229.0473972602738</v>
      </c>
      <c r="K74" s="101">
        <f t="shared" ref="K74:K77" si="303">J74*10^-9</f>
        <v>1.2290473972602738E-6</v>
      </c>
      <c r="L74" s="100">
        <f t="shared" ref="L74:L77" si="304">J74*10^-6</f>
        <v>1.2290473972602738E-3</v>
      </c>
      <c r="M74" s="103">
        <f>FE!$C$123</f>
        <v>0.83</v>
      </c>
      <c r="N74">
        <f>((F74*$D74)/1000)*$M74*365</f>
        <v>116914.73142599998</v>
      </c>
      <c r="O74" s="103">
        <f>FE!$B$147</f>
        <v>1E-3</v>
      </c>
      <c r="P74" s="103">
        <f>FE!$B$134</f>
        <v>5.0000000000000001E-3</v>
      </c>
      <c r="Q74" s="103">
        <f>FE!$C$184</f>
        <v>0.01</v>
      </c>
      <c r="R74" s="103">
        <f>FE!$E$169</f>
        <v>55</v>
      </c>
      <c r="S74">
        <f>((N74*$O74)*(44/28))</f>
        <v>183.72314938371426</v>
      </c>
      <c r="T74">
        <f t="shared" ref="T74:T77" si="305">((N74-(N74*$O74))*$P74*(44/28))</f>
        <v>917.6971311716527</v>
      </c>
      <c r="U74" s="130">
        <f t="shared" ref="U74:U77" si="306">(N74-(O74*N74)-(P74*N74)*(R74/100))*Q74*(44/28)</f>
        <v>1830.3418757352533</v>
      </c>
      <c r="V74" s="94">
        <f t="shared" ref="V74:V77" si="307">S74+T74</f>
        <v>1101.4202805553668</v>
      </c>
      <c r="W74" s="94">
        <f t="shared" ref="W74:W77" si="308">V74</f>
        <v>1101.4202805553668</v>
      </c>
      <c r="X74" s="99">
        <f t="shared" ref="X74:X77" si="309">V74+W74</f>
        <v>2202.8405611107337</v>
      </c>
      <c r="Y74" s="101">
        <f t="shared" ref="Y74:Y77" si="310">X74*10^-9</f>
        <v>2.2028405611107339E-6</v>
      </c>
      <c r="Z74" s="100">
        <f t="shared" ref="Z74:Z77" si="311">X74*10^-6</f>
        <v>2.2028405611107336E-3</v>
      </c>
      <c r="AA74">
        <f t="shared" ref="AA74:AA77" si="312">N74-(N74*O74)-(N74*P74)</f>
        <v>116213.24303744399</v>
      </c>
      <c r="AB74">
        <f t="shared" si="212"/>
        <v>232.42648607488798</v>
      </c>
      <c r="AC74" s="136">
        <f t="shared" ref="AC74:AC77" si="313">AB74*10^-9</f>
        <v>2.3242648607488799E-7</v>
      </c>
      <c r="AD74" s="136">
        <f t="shared" ref="AD74:AD77" si="314">AB74*10^-6</f>
        <v>2.3242648607488795E-4</v>
      </c>
    </row>
    <row r="75" spans="1:30">
      <c r="A75">
        <v>2015</v>
      </c>
      <c r="B75" s="2">
        <v>256234</v>
      </c>
      <c r="C75" s="87">
        <v>19</v>
      </c>
      <c r="D75" s="87">
        <v>9.42</v>
      </c>
      <c r="E75" s="87">
        <v>81</v>
      </c>
      <c r="F75" s="87">
        <f t="shared" si="300"/>
        <v>56862.887671232878</v>
      </c>
      <c r="G75" s="96">
        <f>FE!$D$49</f>
        <v>0.03</v>
      </c>
      <c r="H75">
        <f t="shared" si="301"/>
        <v>1705.8866301369862</v>
      </c>
      <c r="I75" s="94">
        <f t="shared" ref="I75:J75" si="315">H75</f>
        <v>1705.8866301369862</v>
      </c>
      <c r="J75" s="99">
        <f t="shared" si="315"/>
        <v>1705.8866301369862</v>
      </c>
      <c r="K75" s="101">
        <f t="shared" si="303"/>
        <v>1.7058866301369864E-6</v>
      </c>
      <c r="L75" s="100">
        <f t="shared" si="304"/>
        <v>1.7058866301369862E-3</v>
      </c>
      <c r="M75" s="103">
        <f>FE!$C$123</f>
        <v>0.83</v>
      </c>
      <c r="N75">
        <f>((F75*$D75)/1000)*$M75*365</f>
        <v>162274.68334440002</v>
      </c>
      <c r="O75" s="103">
        <f>FE!$B$147</f>
        <v>1E-3</v>
      </c>
      <c r="P75" s="103">
        <f>FE!$B$134</f>
        <v>5.0000000000000001E-3</v>
      </c>
      <c r="Q75" s="103">
        <f>FE!$C$184</f>
        <v>0.01</v>
      </c>
      <c r="R75" s="103">
        <f>FE!$E$169</f>
        <v>55</v>
      </c>
      <c r="S75">
        <f>((N75*$O75)*(44/28))</f>
        <v>255.00307382691432</v>
      </c>
      <c r="T75">
        <f t="shared" si="305"/>
        <v>1273.740353765437</v>
      </c>
      <c r="U75" s="130">
        <f t="shared" si="306"/>
        <v>2540.4681230006336</v>
      </c>
      <c r="V75" s="94">
        <f t="shared" si="307"/>
        <v>1528.7434275923513</v>
      </c>
      <c r="W75" s="94">
        <f t="shared" si="308"/>
        <v>1528.7434275923513</v>
      </c>
      <c r="X75" s="99">
        <f t="shared" si="309"/>
        <v>3057.4868551847026</v>
      </c>
      <c r="Y75" s="101">
        <f t="shared" si="310"/>
        <v>3.057486855184703E-6</v>
      </c>
      <c r="Z75" s="100">
        <f t="shared" si="311"/>
        <v>3.0574868551847025E-3</v>
      </c>
      <c r="AA75">
        <f t="shared" si="312"/>
        <v>161301.03524433362</v>
      </c>
      <c r="AB75">
        <f t="shared" si="212"/>
        <v>322.60207048866727</v>
      </c>
      <c r="AC75" s="136">
        <f t="shared" si="313"/>
        <v>3.2260207048866727E-7</v>
      </c>
      <c r="AD75" s="136">
        <f t="shared" si="314"/>
        <v>3.2260207048866727E-4</v>
      </c>
    </row>
    <row r="76" spans="1:30">
      <c r="A76">
        <v>2016</v>
      </c>
      <c r="B76" s="2">
        <v>180655</v>
      </c>
      <c r="C76" s="87">
        <v>19.100000000000001</v>
      </c>
      <c r="D76" s="87">
        <v>9.42</v>
      </c>
      <c r="E76" s="87">
        <v>81</v>
      </c>
      <c r="F76" s="87">
        <f t="shared" si="300"/>
        <v>40090.561643835616</v>
      </c>
      <c r="G76" s="96">
        <f>FE!$D$49</f>
        <v>0.03</v>
      </c>
      <c r="H76">
        <f t="shared" si="301"/>
        <v>1202.7168493150684</v>
      </c>
      <c r="I76" s="94">
        <f t="shared" ref="I76:J76" si="316">H76</f>
        <v>1202.7168493150684</v>
      </c>
      <c r="J76" s="99">
        <f t="shared" si="316"/>
        <v>1202.7168493150684</v>
      </c>
      <c r="K76" s="101">
        <f t="shared" si="303"/>
        <v>1.2027168493150685E-6</v>
      </c>
      <c r="L76" s="100">
        <f t="shared" si="304"/>
        <v>1.2027168493150683E-3</v>
      </c>
      <c r="M76" s="103">
        <f>FE!$C$123</f>
        <v>0.83</v>
      </c>
      <c r="N76">
        <f>((F76*$D76)/1000)*$M76*365</f>
        <v>114410.00382299999</v>
      </c>
      <c r="O76" s="103">
        <f>FE!$B$147</f>
        <v>1E-3</v>
      </c>
      <c r="P76" s="103">
        <f>FE!$B$134</f>
        <v>5.0000000000000001E-3</v>
      </c>
      <c r="Q76" s="103">
        <f>FE!$C$184</f>
        <v>0.01</v>
      </c>
      <c r="R76" s="103">
        <f>FE!$E$169</f>
        <v>55</v>
      </c>
      <c r="S76">
        <f>((N76*$O76)*(44/28))</f>
        <v>179.78714886471428</v>
      </c>
      <c r="T76">
        <f t="shared" si="305"/>
        <v>898.0368085792478</v>
      </c>
      <c r="U76" s="130">
        <f t="shared" si="306"/>
        <v>1791.129470564716</v>
      </c>
      <c r="V76" s="94">
        <f t="shared" si="307"/>
        <v>1077.8239574439622</v>
      </c>
      <c r="W76" s="94">
        <f t="shared" si="308"/>
        <v>1077.8239574439622</v>
      </c>
      <c r="X76" s="99">
        <f t="shared" si="309"/>
        <v>2155.6479148879243</v>
      </c>
      <c r="Y76" s="101">
        <f t="shared" si="310"/>
        <v>2.1556479148879244E-6</v>
      </c>
      <c r="Z76" s="100">
        <f t="shared" si="311"/>
        <v>2.1556479148879242E-3</v>
      </c>
      <c r="AA76">
        <f t="shared" si="312"/>
        <v>113723.54380006199</v>
      </c>
      <c r="AB76">
        <f t="shared" si="212"/>
        <v>227.44708760012401</v>
      </c>
      <c r="AC76" s="136">
        <f t="shared" si="313"/>
        <v>2.2744708760012402E-7</v>
      </c>
      <c r="AD76" s="136">
        <f t="shared" si="314"/>
        <v>2.2744708760012399E-4</v>
      </c>
    </row>
    <row r="77" spans="1:30">
      <c r="A77">
        <v>2017</v>
      </c>
      <c r="B77" s="2">
        <v>108420</v>
      </c>
      <c r="C77" s="87">
        <v>19.399999999999999</v>
      </c>
      <c r="D77" s="87">
        <v>9.42</v>
      </c>
      <c r="E77" s="87">
        <v>81</v>
      </c>
      <c r="F77" s="87">
        <f t="shared" si="300"/>
        <v>24060.328767123287</v>
      </c>
      <c r="G77" s="96">
        <f>FE!$D$49</f>
        <v>0.03</v>
      </c>
      <c r="H77">
        <f t="shared" si="301"/>
        <v>721.80986301369853</v>
      </c>
      <c r="I77" s="94">
        <f t="shared" ref="I77:J77" si="317">H77</f>
        <v>721.80986301369853</v>
      </c>
      <c r="J77" s="99">
        <f t="shared" si="317"/>
        <v>721.80986301369853</v>
      </c>
      <c r="K77" s="101">
        <f t="shared" si="303"/>
        <v>7.2180986301369854E-7</v>
      </c>
      <c r="L77" s="100">
        <f t="shared" si="304"/>
        <v>7.218098630136985E-4</v>
      </c>
      <c r="M77" s="103">
        <f>FE!$C$123</f>
        <v>0.83</v>
      </c>
      <c r="N77">
        <f>((F77*$D77)/1000)*$M77*365</f>
        <v>68663.101572</v>
      </c>
      <c r="O77" s="103">
        <f>FE!$B$147</f>
        <v>1E-3</v>
      </c>
      <c r="P77" s="103">
        <f>FE!$B$134</f>
        <v>5.0000000000000001E-3</v>
      </c>
      <c r="Q77" s="103">
        <f>FE!$C$184</f>
        <v>0.01</v>
      </c>
      <c r="R77" s="103">
        <f>FE!$E$169</f>
        <v>55</v>
      </c>
      <c r="S77">
        <f>((N77*$O77)*(44/28))</f>
        <v>107.89915961314286</v>
      </c>
      <c r="T77">
        <f t="shared" si="305"/>
        <v>538.95630226764854</v>
      </c>
      <c r="U77" s="130">
        <f t="shared" si="306"/>
        <v>1074.9453776459357</v>
      </c>
      <c r="V77" s="94">
        <f t="shared" si="307"/>
        <v>646.85546188079138</v>
      </c>
      <c r="W77" s="94">
        <f t="shared" si="308"/>
        <v>646.85546188079138</v>
      </c>
      <c r="X77" s="99">
        <f t="shared" si="309"/>
        <v>1293.7109237615828</v>
      </c>
      <c r="Y77" s="101">
        <f t="shared" si="310"/>
        <v>1.2937109237615829E-6</v>
      </c>
      <c r="Z77" s="100">
        <f t="shared" si="311"/>
        <v>1.2937109237615826E-3</v>
      </c>
      <c r="AA77">
        <f t="shared" si="312"/>
        <v>68251.122962567999</v>
      </c>
      <c r="AB77">
        <f t="shared" si="212"/>
        <v>136.50224592513601</v>
      </c>
      <c r="AC77" s="136">
        <f t="shared" si="313"/>
        <v>1.36502245925136E-7</v>
      </c>
      <c r="AD77" s="136">
        <f t="shared" si="314"/>
        <v>1.3650224592513601E-4</v>
      </c>
    </row>
  </sheetData>
  <pageMargins left="0.7" right="0.7" top="0.75" bottom="0.75" header="0.3" footer="0.3"/>
  <pageSetup orientation="portrait" r:id="rId1"/>
  <ignoredErrors>
    <ignoredError sqref="BV17:BV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016B5-0E79-D346-9305-E00CB2859281}">
  <dimension ref="A2:L98"/>
  <sheetViews>
    <sheetView workbookViewId="0">
      <selection activeCell="G11" sqref="G11"/>
    </sheetView>
  </sheetViews>
  <sheetFormatPr defaultColWidth="11.5703125" defaultRowHeight="15"/>
  <cols>
    <col min="2" max="2" width="15" bestFit="1" customWidth="1"/>
    <col min="4" max="4" width="11.7109375" bestFit="1" customWidth="1"/>
    <col min="7" max="7" width="20.85546875" customWidth="1"/>
    <col min="8" max="8" width="17.7109375" customWidth="1"/>
    <col min="9" max="9" width="19.140625" customWidth="1"/>
    <col min="10" max="10" width="24.42578125" customWidth="1"/>
  </cols>
  <sheetData>
    <row r="2" spans="1:11">
      <c r="B2" t="s">
        <v>420</v>
      </c>
      <c r="C2" t="s">
        <v>421</v>
      </c>
      <c r="D2" t="s">
        <v>422</v>
      </c>
      <c r="E2" t="s">
        <v>423</v>
      </c>
      <c r="G2" t="s">
        <v>437</v>
      </c>
      <c r="H2" t="s">
        <v>438</v>
      </c>
      <c r="I2" t="s">
        <v>439</v>
      </c>
      <c r="J2" t="s">
        <v>440</v>
      </c>
    </row>
    <row r="4" spans="1:11">
      <c r="A4" t="s">
        <v>426</v>
      </c>
      <c r="K4" t="s">
        <v>14</v>
      </c>
    </row>
    <row r="5" spans="1:11">
      <c r="A5" s="135">
        <v>2013</v>
      </c>
      <c r="B5" s="130">
        <f>'2'!BA3</f>
        <v>23.782090625999999</v>
      </c>
      <c r="C5" s="130">
        <f>'2'!BV3</f>
        <v>15.85475221122986</v>
      </c>
      <c r="D5" s="130">
        <f>'2'!CV3</f>
        <v>0.26337343122648227</v>
      </c>
      <c r="E5" s="130">
        <f>'2'!CZ3</f>
        <v>7.1041190396453874E-2</v>
      </c>
      <c r="G5" s="130">
        <f>B5*FE!$C$2</f>
        <v>665.89853752799991</v>
      </c>
      <c r="H5" s="130">
        <f>C5*FE!$C$2</f>
        <v>443.93306191443605</v>
      </c>
      <c r="I5" s="130">
        <f>D5*FE!$C$3</f>
        <v>69.793959275017798</v>
      </c>
      <c r="J5" s="130">
        <f>E5*FE!$C$3</f>
        <v>18.825915455060276</v>
      </c>
      <c r="K5" s="130">
        <f>G5+H5+I5</f>
        <v>1179.6255587174539</v>
      </c>
    </row>
    <row r="6" spans="1:11">
      <c r="A6" s="135">
        <v>2014</v>
      </c>
      <c r="B6" s="130">
        <f>'2'!BA4</f>
        <v>24.876050759999998</v>
      </c>
      <c r="C6" s="130">
        <f>'2'!BV4</f>
        <v>16.66841992008386</v>
      </c>
      <c r="D6" s="130">
        <f>'2'!CV4</f>
        <v>0.27548843148644975</v>
      </c>
      <c r="E6" s="130">
        <f>'2'!CZ4</f>
        <v>7.4309037256000368E-2</v>
      </c>
      <c r="G6" s="130">
        <f>B6*FE!$C$2</f>
        <v>696.52942127999995</v>
      </c>
      <c r="H6" s="130">
        <f>C6*FE!$C$2</f>
        <v>466.71575776234806</v>
      </c>
      <c r="I6" s="130">
        <f>D6*FE!$C$3</f>
        <v>73.004434343909182</v>
      </c>
      <c r="J6" s="130">
        <f>E6*FE!$C$3</f>
        <v>19.691894872840098</v>
      </c>
      <c r="K6" s="130">
        <f t="shared" ref="K6:K9" si="0">G6+H6+I6</f>
        <v>1236.2496133862571</v>
      </c>
    </row>
    <row r="7" spans="1:11">
      <c r="A7" s="135">
        <v>2015</v>
      </c>
      <c r="B7" s="130">
        <f>'2'!BA5</f>
        <v>25.453119107999999</v>
      </c>
      <c r="C7" s="130">
        <f>'2'!BV5</f>
        <v>17.190058863400544</v>
      </c>
      <c r="D7" s="130">
        <f>'2'!CV5</f>
        <v>0.28020667554986894</v>
      </c>
      <c r="E7" s="130">
        <f>'2'!CZ5</f>
        <v>7.5581715647611042E-2</v>
      </c>
      <c r="G7" s="130">
        <f>B7*FE!$C$2</f>
        <v>712.68733502399994</v>
      </c>
      <c r="H7" s="130">
        <f>C7*FE!$C$2</f>
        <v>481.32164817521527</v>
      </c>
      <c r="I7" s="130">
        <f>D7*FE!$C$3</f>
        <v>74.254769020715273</v>
      </c>
      <c r="J7" s="130">
        <f>E7*FE!$C$3</f>
        <v>20.029154646616927</v>
      </c>
      <c r="K7" s="130">
        <f t="shared" si="0"/>
        <v>1268.2637522199304</v>
      </c>
    </row>
    <row r="8" spans="1:11">
      <c r="A8" s="135">
        <v>2016</v>
      </c>
      <c r="B8" s="130">
        <f>'2'!BA6</f>
        <v>25.368613889999999</v>
      </c>
      <c r="C8" s="130">
        <f>'2'!BV6</f>
        <v>17.73889132241192</v>
      </c>
      <c r="D8" s="130">
        <f>'2'!CV6</f>
        <v>0.33173153521914567</v>
      </c>
      <c r="E8" s="130">
        <f>'2'!CZ6</f>
        <v>8.9479804565957471E-2</v>
      </c>
      <c r="G8" s="130">
        <f>B8*FE!$C$2</f>
        <v>710.32118891999994</v>
      </c>
      <c r="H8" s="130">
        <f>C8*FE!$C$2</f>
        <v>496.68895702753377</v>
      </c>
      <c r="I8" s="130">
        <f>D8*FE!$C$3</f>
        <v>87.9088568330736</v>
      </c>
      <c r="J8" s="130">
        <f>E8*FE!$C$3</f>
        <v>23.712148209978729</v>
      </c>
      <c r="K8" s="130">
        <f t="shared" si="0"/>
        <v>1294.9190027806071</v>
      </c>
    </row>
    <row r="9" spans="1:11">
      <c r="A9" s="135">
        <v>2017</v>
      </c>
      <c r="B9" s="130">
        <f>'2'!BA7</f>
        <v>26.242325963999999</v>
      </c>
      <c r="C9" s="130">
        <f>'2'!BV7</f>
        <v>18.411951489691422</v>
      </c>
      <c r="D9" s="130">
        <f>'2'!CV7</f>
        <v>0.36912471338396557</v>
      </c>
      <c r="E9" s="130">
        <f>'2'!CZ7</f>
        <v>9.9566075900028111E-2</v>
      </c>
      <c r="G9" s="130">
        <f>B9*FE!$C$2</f>
        <v>734.78512699199996</v>
      </c>
      <c r="H9" s="130">
        <f>C9*FE!$C$2</f>
        <v>515.53464171135977</v>
      </c>
      <c r="I9" s="130">
        <f>D9*FE!$C$3</f>
        <v>97.818049046750872</v>
      </c>
      <c r="J9" s="130">
        <f>E9*FE!$C$3</f>
        <v>26.385010113507448</v>
      </c>
      <c r="K9" s="130">
        <f t="shared" si="0"/>
        <v>1348.1378177501108</v>
      </c>
    </row>
    <row r="10" spans="1:11">
      <c r="A10" s="133" t="s">
        <v>9</v>
      </c>
      <c r="B10" s="130"/>
      <c r="C10" s="130"/>
      <c r="D10" s="130"/>
    </row>
    <row r="11" spans="1:11">
      <c r="A11" s="135">
        <v>2013</v>
      </c>
      <c r="B11" s="130">
        <f>'2'!BA10</f>
        <v>91.825760741899998</v>
      </c>
      <c r="C11" s="129">
        <f>'2'!BV10</f>
        <v>90.825502281555202</v>
      </c>
      <c r="D11" s="130">
        <f>'2'!CV10</f>
        <v>2.0509436503210887</v>
      </c>
      <c r="E11" s="130">
        <f>'2'!DA10</f>
        <v>0.77846380917498215</v>
      </c>
      <c r="G11" s="130">
        <f>B11*FE!$C$2</f>
        <v>2571.1213007731999</v>
      </c>
      <c r="H11" s="130">
        <f>C11*FE!$C$2</f>
        <v>2543.1140638835459</v>
      </c>
      <c r="I11" s="130">
        <f>D11*FE!$C$3</f>
        <v>543.50006733508849</v>
      </c>
      <c r="J11" s="130">
        <f>E11*FE!$C$3</f>
        <v>206.29290943137028</v>
      </c>
      <c r="K11" s="130">
        <f>G11+H11+I11</f>
        <v>5657.735431991835</v>
      </c>
    </row>
    <row r="12" spans="1:11">
      <c r="A12" s="135">
        <v>2014</v>
      </c>
      <c r="B12" s="130">
        <f>'2'!BA11</f>
        <v>93.549314107100003</v>
      </c>
      <c r="C12" s="129">
        <f>'2'!BV11</f>
        <v>92.530280971528242</v>
      </c>
      <c r="D12" s="130">
        <f>'2'!CV11</f>
        <v>2.0894395016136493</v>
      </c>
      <c r="E12" s="130">
        <f>'2'!DA11</f>
        <v>0.79307543784159584</v>
      </c>
      <c r="G12" s="130">
        <f>B12*FE!$C$2</f>
        <v>2619.3807949988</v>
      </c>
      <c r="H12" s="130">
        <f>C12*FE!$C$2</f>
        <v>2590.8478672027909</v>
      </c>
      <c r="I12" s="130">
        <f>D12*FE!$C$3</f>
        <v>553.70146792761705</v>
      </c>
      <c r="J12" s="130">
        <f>E12*FE!$C$3</f>
        <v>210.16499102802291</v>
      </c>
      <c r="K12" s="130">
        <f t="shared" ref="K12:K15" si="1">G12+H12+I12</f>
        <v>5763.930130129208</v>
      </c>
    </row>
    <row r="13" spans="1:11">
      <c r="A13" s="135">
        <v>2015</v>
      </c>
      <c r="B13" s="130">
        <f>'2'!BA12</f>
        <v>98.801946479599991</v>
      </c>
      <c r="C13" s="129">
        <f>'2'!BV12</f>
        <v>95.762724593336927</v>
      </c>
      <c r="D13" s="130">
        <f>'2'!CV12</f>
        <v>2.1913482787562386</v>
      </c>
      <c r="E13" s="130">
        <f>'2'!DA12</f>
        <v>0.83542456601554693</v>
      </c>
      <c r="G13" s="130">
        <f>B13*FE!$C$2</f>
        <v>2766.4545014287996</v>
      </c>
      <c r="H13" s="130">
        <f>C13*FE!$C$2</f>
        <v>2681.3562886134341</v>
      </c>
      <c r="I13" s="130">
        <f>D13*FE!$C$3</f>
        <v>580.70729387040319</v>
      </c>
      <c r="J13" s="130">
        <f>E13*FE!$C$3</f>
        <v>221.38750999411994</v>
      </c>
      <c r="K13" s="130">
        <f t="shared" si="1"/>
        <v>6028.5180839126369</v>
      </c>
    </row>
    <row r="14" spans="1:11">
      <c r="A14" s="135">
        <v>2016</v>
      </c>
      <c r="B14" s="130">
        <f>'2'!BA13</f>
        <v>112.50703218179999</v>
      </c>
      <c r="C14" s="129">
        <f>'2'!BV13</f>
        <v>109.04623159285582</v>
      </c>
      <c r="D14" s="130">
        <f>'2'!CV13</f>
        <v>2.9652890468560167</v>
      </c>
      <c r="E14" s="130">
        <f>'2'!DA13</f>
        <v>1.1284356297336671</v>
      </c>
      <c r="G14" s="130">
        <f>B14*FE!$C$2</f>
        <v>3150.1969010903995</v>
      </c>
      <c r="H14" s="130">
        <f>C14*FE!$C$2</f>
        <v>3053.2944845999627</v>
      </c>
      <c r="I14" s="130">
        <f>D14*FE!$C$3</f>
        <v>785.8015974168444</v>
      </c>
      <c r="J14" s="130">
        <f>E14*FE!$C$3</f>
        <v>299.0354418794218</v>
      </c>
      <c r="K14" s="130">
        <f t="shared" si="1"/>
        <v>6989.292983107207</v>
      </c>
    </row>
    <row r="15" spans="1:11">
      <c r="A15" s="135">
        <v>2017</v>
      </c>
      <c r="B15" s="130">
        <f>'2'!BA14</f>
        <v>115.1907618165</v>
      </c>
      <c r="C15" s="129">
        <f>'2'!BV14</f>
        <v>111.64740769361023</v>
      </c>
      <c r="D15" s="130">
        <f>'2'!CV14</f>
        <v>3.2674651387527667</v>
      </c>
      <c r="E15" s="130">
        <f>'2'!DA14</f>
        <v>1.2407444012981197</v>
      </c>
      <c r="G15" s="130">
        <f>B15*FE!$C$2</f>
        <v>3225.3413308620002</v>
      </c>
      <c r="H15" s="130">
        <f>C15*FE!$C$2</f>
        <v>3126.1274154210864</v>
      </c>
      <c r="I15" s="130">
        <f>D15*FE!$C$3</f>
        <v>865.87826176948317</v>
      </c>
      <c r="J15" s="130">
        <f>E15*FE!$C$3</f>
        <v>328.79726634400174</v>
      </c>
      <c r="K15" s="130">
        <f t="shared" si="1"/>
        <v>7217.3470080525694</v>
      </c>
    </row>
    <row r="16" spans="1:11">
      <c r="A16" t="s">
        <v>2</v>
      </c>
    </row>
    <row r="17" spans="1:11">
      <c r="A17" s="135">
        <v>2013</v>
      </c>
      <c r="B17" s="130">
        <f>'2'!BB17</f>
        <v>0.29729699999999998</v>
      </c>
      <c r="C17" s="130">
        <f>'2'!CB17</f>
        <v>4.5808310904122846</v>
      </c>
      <c r="D17" s="130">
        <f>'2'!DC17</f>
        <v>0.93628254511923281</v>
      </c>
      <c r="E17" s="130">
        <f>'2'!DH17</f>
        <v>2.7253624521145714E-2</v>
      </c>
      <c r="G17" s="130">
        <f>B17*FE!$C$2</f>
        <v>8.3243159999999996</v>
      </c>
      <c r="H17" s="130">
        <f>C17*FE!$C$2</f>
        <v>128.26327053154398</v>
      </c>
      <c r="I17" s="130">
        <f>D17*FE!$C$3</f>
        <v>248.11487445659671</v>
      </c>
      <c r="J17" s="130">
        <f>E17*FE!$C$3</f>
        <v>7.2222104981036139</v>
      </c>
      <c r="K17" s="130">
        <f>G17+H17+I17</f>
        <v>384.70246098814073</v>
      </c>
    </row>
    <row r="18" spans="1:11">
      <c r="A18" s="135">
        <v>2014</v>
      </c>
      <c r="B18" s="130">
        <f>'2'!BB18</f>
        <v>0.22243949999999998</v>
      </c>
      <c r="C18" s="130">
        <f>'2'!CB18</f>
        <v>3.4198621654208323</v>
      </c>
      <c r="D18" s="130">
        <f>'2'!DC18</f>
        <v>0.69865251643659887</v>
      </c>
      <c r="E18" s="130">
        <f>'2'!DH18</f>
        <v>2.0458586970389162E-2</v>
      </c>
      <c r="G18" s="130">
        <f>B18*FE!$C$2</f>
        <v>6.2283059999999999</v>
      </c>
      <c r="H18" s="130">
        <f>C18*FE!$C$2</f>
        <v>95.75614063178331</v>
      </c>
      <c r="I18" s="130">
        <f>D18*FE!$C$3</f>
        <v>185.1429168556987</v>
      </c>
      <c r="J18" s="130">
        <f>E18*FE!$C$3</f>
        <v>5.4215255471531281</v>
      </c>
      <c r="K18" s="130">
        <f t="shared" ref="K18:K21" si="2">G18+H18+I18</f>
        <v>287.127363487482</v>
      </c>
    </row>
    <row r="19" spans="1:11">
      <c r="A19" s="135">
        <v>2015</v>
      </c>
      <c r="B19" s="130">
        <f>'2'!BB19</f>
        <v>0.23315849999999996</v>
      </c>
      <c r="C19" s="130">
        <f>'2'!CB19</f>
        <v>3.5876138070708579</v>
      </c>
      <c r="D19" s="130">
        <f>'2'!DC19</f>
        <v>0.73269325075718184</v>
      </c>
      <c r="E19" s="130">
        <f>'2'!DH19</f>
        <v>2.146079971203467E-2</v>
      </c>
      <c r="G19" s="130">
        <f>B19*FE!$C$2</f>
        <v>6.5284379999999986</v>
      </c>
      <c r="H19" s="130">
        <f>C19*FE!$C$2</f>
        <v>100.45318659798401</v>
      </c>
      <c r="I19" s="130">
        <f>D19*FE!$C$3</f>
        <v>194.16371145065318</v>
      </c>
      <c r="J19" s="130">
        <f>E19*FE!$C$3</f>
        <v>5.6871119236891872</v>
      </c>
      <c r="K19" s="130">
        <f t="shared" si="2"/>
        <v>301.1453360486372</v>
      </c>
    </row>
    <row r="20" spans="1:11">
      <c r="A20" s="135">
        <v>2016</v>
      </c>
      <c r="B20" s="130">
        <f>'2'!BB20</f>
        <v>0.22147499999999998</v>
      </c>
      <c r="C20" s="130">
        <f>'2'!CB20</f>
        <v>3.4064137878992624</v>
      </c>
      <c r="D20" s="130">
        <f>'2'!DC20</f>
        <v>0.81296612983272998</v>
      </c>
      <c r="E20" s="130">
        <f>'2'!DH20</f>
        <v>2.2439042944646818E-2</v>
      </c>
      <c r="G20" s="130">
        <f>B20*FE!$C$2</f>
        <v>6.2012999999999998</v>
      </c>
      <c r="H20" s="130">
        <f>C20*FE!$C$2</f>
        <v>95.379586061179353</v>
      </c>
      <c r="I20" s="130">
        <f>D20*FE!$C$3</f>
        <v>215.43602440567344</v>
      </c>
      <c r="J20" s="130">
        <f>E20*FE!$C$3</f>
        <v>5.9463463803314065</v>
      </c>
      <c r="K20" s="130">
        <f t="shared" si="2"/>
        <v>317.01691046685278</v>
      </c>
    </row>
    <row r="21" spans="1:11">
      <c r="A21" s="135">
        <v>2017</v>
      </c>
      <c r="B21" s="130">
        <f>'2'!BB21</f>
        <v>0.229209</v>
      </c>
      <c r="C21" s="130">
        <f>'2'!CB21</f>
        <v>3.5263608027726407</v>
      </c>
      <c r="D21" s="130">
        <f>'2'!DC21</f>
        <v>0.89824684985749015</v>
      </c>
      <c r="E21" s="130">
        <f>'2'!DH21</f>
        <v>2.4222980090692816E-2</v>
      </c>
      <c r="G21" s="130">
        <f>B21*FE!$C$2</f>
        <v>6.4178519999999999</v>
      </c>
      <c r="H21" s="130">
        <f>C21*FE!$C$2</f>
        <v>98.738102477633944</v>
      </c>
      <c r="I21" s="130">
        <f>D21*FE!$C$3</f>
        <v>238.03541521223488</v>
      </c>
      <c r="J21" s="130">
        <f>E21*FE!$C$3</f>
        <v>6.4190897240335962</v>
      </c>
      <c r="K21" s="130">
        <f t="shared" si="2"/>
        <v>343.19136968986879</v>
      </c>
    </row>
    <row r="22" spans="1:11">
      <c r="A22" t="s">
        <v>68</v>
      </c>
    </row>
    <row r="23" spans="1:11">
      <c r="A23" s="135">
        <v>2013</v>
      </c>
      <c r="B23" s="130">
        <f>'2'!J24</f>
        <v>0.92592999999999992</v>
      </c>
      <c r="C23" s="130">
        <f>'2'!R24</f>
        <v>0.65938216052800003</v>
      </c>
      <c r="D23" s="129">
        <f>'2'!Z24</f>
        <v>4.9801705555111708E-2</v>
      </c>
      <c r="E23" s="129">
        <f>'2'!AD24</f>
        <v>3.1058154555278755E-3</v>
      </c>
      <c r="G23" s="130">
        <f>B23*FE!$C$2</f>
        <v>25.926039999999997</v>
      </c>
      <c r="H23" s="130">
        <f>C23*FE!$C$2</f>
        <v>18.462700494784002</v>
      </c>
      <c r="I23" s="130">
        <f>D23*FE!$C$3</f>
        <v>13.197451972104602</v>
      </c>
      <c r="J23" s="130">
        <f>E23*FE!$C$3</f>
        <v>0.82304109571488704</v>
      </c>
      <c r="K23" s="130">
        <f>G23+H23+I23</f>
        <v>57.586192466888605</v>
      </c>
    </row>
    <row r="24" spans="1:11">
      <c r="A24" s="135">
        <v>2014</v>
      </c>
      <c r="B24" s="130">
        <f>'2'!J25</f>
        <v>0.95077</v>
      </c>
      <c r="C24" s="130">
        <f>'2'!R25</f>
        <v>0.67707145979200012</v>
      </c>
      <c r="D24" s="129">
        <f>'2'!Z25</f>
        <v>5.3199889710518568E-2</v>
      </c>
      <c r="E24" s="129">
        <f>'2'!AD25</f>
        <v>3.3177385764923397E-3</v>
      </c>
      <c r="G24" s="130">
        <f>B24*FE!$C$2</f>
        <v>26.621559999999999</v>
      </c>
      <c r="H24" s="130">
        <f>C24*FE!$C$2</f>
        <v>18.958000874176005</v>
      </c>
      <c r="I24" s="130">
        <f>D24*FE!$C$3</f>
        <v>14.09797077328742</v>
      </c>
      <c r="J24" s="130">
        <f>E24*FE!$C$3</f>
        <v>0.87920072277047001</v>
      </c>
      <c r="K24" s="130">
        <f t="shared" ref="K24:K27" si="3">G24+H24+I24</f>
        <v>59.677531647463425</v>
      </c>
    </row>
    <row r="25" spans="1:11">
      <c r="A25" s="135">
        <v>2015</v>
      </c>
      <c r="B25" s="130">
        <f>'2'!J26</f>
        <v>0.92950999999999995</v>
      </c>
      <c r="C25" s="130">
        <f>'2'!R26</f>
        <v>0.73758090843840007</v>
      </c>
      <c r="D25" s="129">
        <f>'2'!Z26</f>
        <v>5.1214360441407418E-2</v>
      </c>
      <c r="E25" s="129">
        <f>'2'!AD26</f>
        <v>3.1939137511641357E-3</v>
      </c>
      <c r="G25" s="130">
        <f>B25*FE!$C$2</f>
        <v>26.02628</v>
      </c>
      <c r="H25" s="130">
        <f>C25*FE!$C$2</f>
        <v>20.652265436275201</v>
      </c>
      <c r="I25" s="130">
        <f>D25*FE!$C$3</f>
        <v>13.571805516972965</v>
      </c>
      <c r="J25" s="130">
        <f>E25*FE!$C$3</f>
        <v>0.84638714405849591</v>
      </c>
      <c r="K25" s="130">
        <f t="shared" si="3"/>
        <v>60.250350953248166</v>
      </c>
    </row>
    <row r="26" spans="1:11">
      <c r="A26" s="135">
        <v>2016</v>
      </c>
      <c r="B26" s="130">
        <f>'2'!J27</f>
        <v>0.928705</v>
      </c>
      <c r="C26" s="130">
        <f>'2'!R27</f>
        <v>0.73694212818720017</v>
      </c>
      <c r="D26" s="129">
        <f>'2'!Z27</f>
        <v>5.1720945240025282E-2</v>
      </c>
      <c r="E26" s="129">
        <f>'2'!AD27</f>
        <v>3.2255062213324857E-3</v>
      </c>
      <c r="G26" s="130">
        <f>B26*FE!$C$2</f>
        <v>26.003740000000001</v>
      </c>
      <c r="H26" s="130">
        <f>C26*FE!$C$2</f>
        <v>20.634379589241604</v>
      </c>
      <c r="I26" s="130">
        <f>D26*FE!$C$3</f>
        <v>13.706050488606699</v>
      </c>
      <c r="J26" s="130">
        <f>E26*FE!$C$3</f>
        <v>0.85475914865310876</v>
      </c>
      <c r="K26" s="130">
        <f t="shared" si="3"/>
        <v>60.344170077848304</v>
      </c>
    </row>
    <row r="27" spans="1:11">
      <c r="A27" s="135">
        <v>2017</v>
      </c>
      <c r="B27" s="130">
        <f>'2'!J28</f>
        <v>0.9378749999999999</v>
      </c>
      <c r="C27" s="130">
        <f>'2'!R28</f>
        <v>0.74421866844000018</v>
      </c>
      <c r="D27" s="129">
        <f>'2'!Z28</f>
        <v>5.2513601747239277E-2</v>
      </c>
      <c r="E27" s="129">
        <f>'2'!AD28</f>
        <v>3.27493916350965E-3</v>
      </c>
      <c r="G27" s="130">
        <f>B27*FE!$C$2</f>
        <v>26.260499999999997</v>
      </c>
      <c r="H27" s="130">
        <f>C27*FE!$C$2</f>
        <v>20.838122716320004</v>
      </c>
      <c r="I27" s="130">
        <f>D27*FE!$C$3</f>
        <v>13.916104463018408</v>
      </c>
      <c r="J27" s="130">
        <f>E27*FE!$C$3</f>
        <v>0.86785887833005726</v>
      </c>
      <c r="K27" s="130">
        <f t="shared" si="3"/>
        <v>61.014727179338408</v>
      </c>
    </row>
    <row r="28" spans="1:11">
      <c r="A28" t="s">
        <v>72</v>
      </c>
    </row>
    <row r="29" spans="1:11">
      <c r="A29" s="135">
        <v>2013</v>
      </c>
      <c r="B29" s="130">
        <f>'2'!J31</f>
        <v>0.767845</v>
      </c>
      <c r="C29" s="130">
        <f>'2'!R24</f>
        <v>0.65938216052800003</v>
      </c>
      <c r="D29" s="129">
        <f>'2'!Z31</f>
        <v>4.1856783598405278E-2</v>
      </c>
      <c r="E29" s="129">
        <f>'2'!AD31</f>
        <v>2.610341231682366E-3</v>
      </c>
      <c r="G29" s="130">
        <f>B29*FE!$C$2</f>
        <v>21.499659999999999</v>
      </c>
      <c r="H29" s="130">
        <f>C29*FE!$C$2</f>
        <v>18.462700494784002</v>
      </c>
      <c r="I29" s="130">
        <f>D29*FE!$C$3</f>
        <v>11.092047653577399</v>
      </c>
      <c r="J29" s="130">
        <f>E29*FE!$C$3</f>
        <v>0.691740426395827</v>
      </c>
      <c r="K29" s="130">
        <f>G29+H29+I29</f>
        <v>51.054408148361404</v>
      </c>
    </row>
    <row r="30" spans="1:11">
      <c r="A30" s="135">
        <v>2014</v>
      </c>
      <c r="B30" s="130">
        <f>'2'!J32</f>
        <v>0.76949999999999996</v>
      </c>
      <c r="C30" s="130">
        <f>'2'!R25</f>
        <v>0.67707145979200012</v>
      </c>
      <c r="D30" s="129">
        <f>'2'!Z32</f>
        <v>4.4958245660742857E-2</v>
      </c>
      <c r="E30" s="129">
        <f>'2'!AD32</f>
        <v>2.8037596839336001E-3</v>
      </c>
      <c r="G30" s="130">
        <f>B30*FE!$C$2</f>
        <v>21.545999999999999</v>
      </c>
      <c r="H30" s="130">
        <f>C30*FE!$C$2</f>
        <v>18.958000874176005</v>
      </c>
      <c r="I30" s="130">
        <f>D30*FE!$C$3</f>
        <v>11.913935100096857</v>
      </c>
      <c r="J30" s="130">
        <f>E30*FE!$C$3</f>
        <v>0.74299631624240403</v>
      </c>
      <c r="K30" s="130">
        <f t="shared" ref="K30:K33" si="4">G30+H30+I30</f>
        <v>52.417935974272858</v>
      </c>
    </row>
    <row r="31" spans="1:11">
      <c r="A31" s="135">
        <v>2015</v>
      </c>
      <c r="B31" s="130">
        <f>'2'!J33</f>
        <v>0.76187499999999997</v>
      </c>
      <c r="C31" s="130">
        <f>'2'!R26</f>
        <v>0.73758090843840007</v>
      </c>
      <c r="D31" s="129">
        <f>'2'!Z33</f>
        <v>4.4239756747607148E-2</v>
      </c>
      <c r="E31" s="129">
        <f>'2'!AD33</f>
        <v>2.7589521026235007E-3</v>
      </c>
      <c r="G31" s="130">
        <f>B31*FE!$C$2</f>
        <v>21.3325</v>
      </c>
      <c r="H31" s="130">
        <f>C31*FE!$C$2</f>
        <v>20.652265436275201</v>
      </c>
      <c r="I31" s="130">
        <f>D31*FE!$C$3</f>
        <v>11.723535538115895</v>
      </c>
      <c r="J31" s="130">
        <f>E31*FE!$C$3</f>
        <v>0.73112230719522764</v>
      </c>
      <c r="K31" s="130">
        <f t="shared" si="4"/>
        <v>53.708300974391094</v>
      </c>
    </row>
    <row r="32" spans="1:11">
      <c r="A32" s="135">
        <v>2016</v>
      </c>
      <c r="B32" s="130">
        <f>'2'!J34</f>
        <v>0.75800499999999993</v>
      </c>
      <c r="C32" s="130">
        <f>'2'!R27</f>
        <v>0.73694212818720017</v>
      </c>
      <c r="D32" s="129">
        <f>'2'!Z34</f>
        <v>4.4898959868470707E-2</v>
      </c>
      <c r="E32" s="129">
        <f>'2'!AD34</f>
        <v>2.8000624063428104E-3</v>
      </c>
      <c r="G32" s="130">
        <f>B32*FE!$C$2</f>
        <v>21.224139999999998</v>
      </c>
      <c r="H32" s="130">
        <f>C32*FE!$C$2</f>
        <v>20.634379589241604</v>
      </c>
      <c r="I32" s="130">
        <f>D32*FE!$C$3</f>
        <v>11.898224365144737</v>
      </c>
      <c r="J32" s="130">
        <f>E32*FE!$C$3</f>
        <v>0.74201653768084475</v>
      </c>
      <c r="K32" s="130">
        <f t="shared" si="4"/>
        <v>53.756743954386337</v>
      </c>
    </row>
    <row r="33" spans="1:11">
      <c r="A33" s="135">
        <v>2017</v>
      </c>
      <c r="B33" s="130">
        <f>'2'!J35</f>
        <v>0.74919999999999998</v>
      </c>
      <c r="C33" s="130">
        <f>'2'!R28</f>
        <v>0.74421866844000018</v>
      </c>
      <c r="D33" s="129">
        <f>'2'!Z35</f>
        <v>4.4984967646960007E-2</v>
      </c>
      <c r="E33" s="129">
        <f>'2'!AD35</f>
        <v>2.8054261641649605E-3</v>
      </c>
      <c r="G33" s="130">
        <f>B33*FE!$C$2</f>
        <v>20.977599999999999</v>
      </c>
      <c r="H33" s="130">
        <f>C33*FE!$C$2</f>
        <v>20.838122716320004</v>
      </c>
      <c r="I33" s="130">
        <f>D33*FE!$C$3</f>
        <v>11.921016426444401</v>
      </c>
      <c r="J33" s="130">
        <f>E33*FE!$C$3</f>
        <v>0.74343793350371457</v>
      </c>
      <c r="K33" s="130">
        <f t="shared" si="4"/>
        <v>53.736739142764407</v>
      </c>
    </row>
    <row r="34" spans="1:11">
      <c r="A34" t="s">
        <v>74</v>
      </c>
    </row>
    <row r="35" spans="1:11">
      <c r="A35" s="135">
        <v>2013</v>
      </c>
      <c r="B35" s="130">
        <f>'2'!J38</f>
        <v>1.1724839999999999</v>
      </c>
      <c r="C35" s="130">
        <f>'2'!R31</f>
        <v>0.59806813577874995</v>
      </c>
      <c r="D35" s="129">
        <f>'2'!Z31</f>
        <v>4.1856783598405278E-2</v>
      </c>
      <c r="E35" s="129">
        <f>'2'!AD38</f>
        <v>9.6461431164000001E-3</v>
      </c>
      <c r="G35" s="130">
        <f>B35*FE!$C$2</f>
        <v>32.829551999999993</v>
      </c>
      <c r="H35" s="130">
        <f>C35*FE!$C$2</f>
        <v>16.745907801805</v>
      </c>
      <c r="I35" s="130">
        <f>D35*FE!$C$3</f>
        <v>11.092047653577399</v>
      </c>
      <c r="J35" s="130">
        <f>E35*FE!$C$3</f>
        <v>2.5562279258460001</v>
      </c>
      <c r="K35" s="130">
        <f>G35+H35+I35</f>
        <v>60.667507455382392</v>
      </c>
    </row>
    <row r="36" spans="1:11">
      <c r="A36" s="135">
        <v>2014</v>
      </c>
      <c r="B36" s="130">
        <f>'2'!J39</f>
        <v>1.1495340000000001</v>
      </c>
      <c r="C36" s="130">
        <f>'2'!R32</f>
        <v>0.59935720162499995</v>
      </c>
      <c r="D36" s="129">
        <f>'2'!Z32</f>
        <v>4.4958245660742857E-2</v>
      </c>
      <c r="E36" s="129">
        <f>'2'!AD39</f>
        <v>9.4573311713999995E-3</v>
      </c>
      <c r="G36" s="130">
        <f>B36*FE!$C$2</f>
        <v>32.186952000000005</v>
      </c>
      <c r="H36" s="130">
        <f>C36*FE!$C$2</f>
        <v>16.782001645499999</v>
      </c>
      <c r="I36" s="130">
        <f>D36*FE!$C$3</f>
        <v>11.913935100096857</v>
      </c>
      <c r="J36" s="130">
        <f>E36*FE!$C$3</f>
        <v>2.5061927604209999</v>
      </c>
      <c r="K36" s="130">
        <f t="shared" ref="K36:K39" si="5">G36+H36+I36</f>
        <v>60.882888745596865</v>
      </c>
    </row>
    <row r="37" spans="1:11">
      <c r="A37" s="135">
        <v>2015</v>
      </c>
      <c r="B37" s="130">
        <f>'2'!J40</f>
        <v>1.161009</v>
      </c>
      <c r="C37" s="130">
        <f>'2'!R33</f>
        <v>0.66123736940625</v>
      </c>
      <c r="D37" s="129">
        <f>'2'!Z33</f>
        <v>4.4239756747607148E-2</v>
      </c>
      <c r="E37" s="129">
        <f>'2'!AD40</f>
        <v>9.5517371438999989E-3</v>
      </c>
      <c r="G37" s="130">
        <f>B37*FE!$C$2</f>
        <v>32.508251999999999</v>
      </c>
      <c r="H37" s="130">
        <f>C37*FE!$C$2</f>
        <v>18.514646343374999</v>
      </c>
      <c r="I37" s="130">
        <f>D37*FE!$C$3</f>
        <v>11.723535538115895</v>
      </c>
      <c r="J37" s="130">
        <f>E37*FE!$C$3</f>
        <v>2.5312103431334996</v>
      </c>
      <c r="K37" s="130">
        <f t="shared" si="5"/>
        <v>62.746433881490894</v>
      </c>
    </row>
    <row r="38" spans="1:11">
      <c r="A38" s="135">
        <v>2016</v>
      </c>
      <c r="B38" s="130">
        <f>'2'!J41</f>
        <v>1.1552715</v>
      </c>
      <c r="C38" s="130">
        <f>'2'!R34</f>
        <v>0.65787856563975</v>
      </c>
      <c r="D38" s="129">
        <f>'2'!Z34</f>
        <v>4.4898959868470707E-2</v>
      </c>
      <c r="E38" s="129">
        <f>'2'!AD41</f>
        <v>9.5045341576500009E-3</v>
      </c>
      <c r="G38" s="130">
        <f>B38*FE!$C$2</f>
        <v>32.347602000000002</v>
      </c>
      <c r="H38" s="130">
        <f>C38*FE!$C$2</f>
        <v>18.420599837912999</v>
      </c>
      <c r="I38" s="130">
        <f>D38*FE!$C$3</f>
        <v>11.898224365144737</v>
      </c>
      <c r="J38" s="130">
        <f>E38*FE!$C$3</f>
        <v>2.5187015517772502</v>
      </c>
      <c r="K38" s="130">
        <f t="shared" si="5"/>
        <v>62.666426203057732</v>
      </c>
    </row>
    <row r="39" spans="1:11">
      <c r="A39" s="135">
        <v>2017</v>
      </c>
      <c r="B39" s="130">
        <f>'2'!J42</f>
        <v>1.15814025</v>
      </c>
      <c r="C39" s="130">
        <f>'2'!R35</f>
        <v>0.65023663614000005</v>
      </c>
      <c r="D39" s="129">
        <f>'2'!Z35</f>
        <v>4.4984967646960007E-2</v>
      </c>
      <c r="E39" s="129">
        <f>'2'!AD42</f>
        <v>9.5281356507749999E-3</v>
      </c>
      <c r="G39" s="130">
        <f>B39*FE!$C$2</f>
        <v>32.427926999999997</v>
      </c>
      <c r="H39" s="130">
        <f>C39*FE!$C$2</f>
        <v>18.206625811920002</v>
      </c>
      <c r="I39" s="130">
        <f>D39*FE!$C$3</f>
        <v>11.921016426444401</v>
      </c>
      <c r="J39" s="130">
        <f>E39*FE!$C$3</f>
        <v>2.5249559474553749</v>
      </c>
      <c r="K39" s="130">
        <f t="shared" si="5"/>
        <v>62.555569238364406</v>
      </c>
    </row>
    <row r="40" spans="1:11">
      <c r="A40" t="s">
        <v>396</v>
      </c>
    </row>
    <row r="41" spans="1:11">
      <c r="A41" s="135">
        <v>2013</v>
      </c>
      <c r="B41" s="130">
        <f>'2'!J45</f>
        <v>4.6105E-2</v>
      </c>
      <c r="C41" s="130">
        <f>'2'!R45</f>
        <v>9.6446159673499982E-2</v>
      </c>
      <c r="D41" s="129">
        <f>'2'!Z45</f>
        <v>6.5688164614285715E-3</v>
      </c>
      <c r="E41" s="134">
        <f>'2'!AD45</f>
        <v>4.0965528113999999E-4</v>
      </c>
      <c r="G41" s="130">
        <f>B41*FE!$C$2</f>
        <v>1.29094</v>
      </c>
      <c r="H41" s="130">
        <f>C41*FE!$C$2</f>
        <v>2.7004924708579994</v>
      </c>
      <c r="I41" s="130">
        <f>D41*FE!$C$3</f>
        <v>1.7407363622785714</v>
      </c>
      <c r="J41" s="130">
        <f>E41*FE!$C$3</f>
        <v>0.10855864950209999</v>
      </c>
      <c r="K41" s="130">
        <f>G41+H41+I41</f>
        <v>5.732168833136571</v>
      </c>
    </row>
    <row r="42" spans="1:11">
      <c r="A42" s="135">
        <v>2014</v>
      </c>
      <c r="B42" s="130">
        <f>'2'!J46</f>
        <v>4.2477500000000001E-2</v>
      </c>
      <c r="C42" s="130">
        <f>'2'!R46</f>
        <v>8.8857862434249979E-2</v>
      </c>
      <c r="D42" s="129">
        <f>'2'!Z46</f>
        <v>6.0519878807142853E-3</v>
      </c>
      <c r="E42" s="134">
        <f>'2'!AD46</f>
        <v>3.7742397147000003E-4</v>
      </c>
      <c r="G42" s="130">
        <f>B42*FE!$C$2</f>
        <v>1.18937</v>
      </c>
      <c r="H42" s="130">
        <f>C42*FE!$C$2</f>
        <v>2.4880201481589994</v>
      </c>
      <c r="I42" s="130">
        <f>D42*FE!$C$3</f>
        <v>1.6037767883892857</v>
      </c>
      <c r="J42" s="130">
        <f>E42*FE!$C$3</f>
        <v>0.10001735243955001</v>
      </c>
      <c r="K42" s="130">
        <f t="shared" ref="K42:K45" si="6">G42+H42+I42</f>
        <v>5.281166936548285</v>
      </c>
    </row>
    <row r="43" spans="1:11">
      <c r="A43" s="135">
        <v>2015</v>
      </c>
      <c r="B43" s="130">
        <f>'2'!J47</f>
        <v>4.4291249999999997E-2</v>
      </c>
      <c r="C43" s="130">
        <f>'2'!R47</f>
        <v>0.103240812317175</v>
      </c>
      <c r="D43" s="129">
        <f>'2'!Z47</f>
        <v>6.3104021710714293E-3</v>
      </c>
      <c r="E43" s="134">
        <f>'2'!AD47</f>
        <v>3.9353962630500004E-4</v>
      </c>
      <c r="G43" s="130">
        <f>B43*FE!$C$2</f>
        <v>1.2401549999999999</v>
      </c>
      <c r="H43" s="130">
        <f>C43*FE!$C$2</f>
        <v>2.8907427448809</v>
      </c>
      <c r="I43" s="130">
        <f>D43*FE!$C$3</f>
        <v>1.6722565753339287</v>
      </c>
      <c r="J43" s="130">
        <f>E43*FE!$C$3</f>
        <v>0.10428800097082501</v>
      </c>
      <c r="K43" s="130">
        <f t="shared" si="6"/>
        <v>5.803154320214829</v>
      </c>
    </row>
    <row r="44" spans="1:11">
      <c r="A44" s="135">
        <v>2016</v>
      </c>
      <c r="B44" s="130">
        <f>'2'!J48</f>
        <v>4.3384374999999996E-2</v>
      </c>
      <c r="C44" s="130">
        <f>'2'!R48</f>
        <v>0.1011269295148125</v>
      </c>
      <c r="D44" s="129">
        <f>'2'!Z48</f>
        <v>6.1811950258928569E-3</v>
      </c>
      <c r="E44" s="134">
        <f>'2'!AD48</f>
        <v>3.8548179888750006E-4</v>
      </c>
      <c r="G44" s="130">
        <f>B44*FE!$C$2</f>
        <v>1.2147625</v>
      </c>
      <c r="H44" s="130">
        <f>C44*FE!$C$2</f>
        <v>2.8315540264147501</v>
      </c>
      <c r="I44" s="130">
        <f>D44*FE!$C$3</f>
        <v>1.6380166818616071</v>
      </c>
      <c r="J44" s="130">
        <f>E44*FE!$C$3</f>
        <v>0.10215267670518752</v>
      </c>
      <c r="K44" s="130">
        <f t="shared" si="6"/>
        <v>5.6843332082763567</v>
      </c>
    </row>
    <row r="45" spans="1:11">
      <c r="A45" s="135">
        <v>2017</v>
      </c>
      <c r="B45" s="130">
        <f>'2'!J49</f>
        <v>4.3837812499999997E-2</v>
      </c>
      <c r="C45" s="130">
        <f>'2'!R49</f>
        <v>0.10218387091599375</v>
      </c>
      <c r="D45" s="129">
        <f>'2'!Z49</f>
        <v>6.2457985984821444E-3</v>
      </c>
      <c r="E45" s="134">
        <f>'2'!AD49</f>
        <v>3.8951071259625016E-4</v>
      </c>
      <c r="G45" s="130">
        <f>B45*FE!$C$2</f>
        <v>1.2274587499999998</v>
      </c>
      <c r="H45" s="130">
        <f>C45*FE!$C$2</f>
        <v>2.8611483856478248</v>
      </c>
      <c r="I45" s="130">
        <f>D45*FE!$C$3</f>
        <v>1.6551366285977682</v>
      </c>
      <c r="J45" s="130">
        <f>E45*FE!$C$3</f>
        <v>0.1032203388380063</v>
      </c>
      <c r="K45" s="130">
        <f t="shared" si="6"/>
        <v>5.7437437642455933</v>
      </c>
    </row>
    <row r="46" spans="1:11">
      <c r="A46" t="s">
        <v>397</v>
      </c>
    </row>
    <row r="47" spans="1:11">
      <c r="A47" s="135">
        <v>2013</v>
      </c>
      <c r="B47" s="130">
        <f>'2'!J52</f>
        <v>1.1719999999999999</v>
      </c>
      <c r="C47">
        <f>'2'!R52</f>
        <v>2.4929999999999999</v>
      </c>
      <c r="D47" s="129">
        <f>'2'!Z52</f>
        <v>5.6714446894285717E-2</v>
      </c>
      <c r="E47" s="129">
        <f>'2'!AD52</f>
        <v>3.5369191426800005E-3</v>
      </c>
      <c r="G47" s="130">
        <f>B47*FE!$C$2</f>
        <v>32.815999999999995</v>
      </c>
      <c r="H47" s="130">
        <f>C47*FE!$C$2</f>
        <v>69.804000000000002</v>
      </c>
      <c r="I47" s="130">
        <f>D47*FE!$C$3</f>
        <v>15.029328426985716</v>
      </c>
      <c r="J47" s="130">
        <f>E47*FE!$C$3</f>
        <v>0.93728357281020014</v>
      </c>
      <c r="K47" s="130">
        <f>G47+H47+I47</f>
        <v>117.64932842698572</v>
      </c>
    </row>
    <row r="48" spans="1:11">
      <c r="A48" s="135">
        <v>2014</v>
      </c>
      <c r="B48" s="130">
        <f>'2'!J53</f>
        <v>1.1499999999999999</v>
      </c>
      <c r="C48">
        <f>'2'!R53</f>
        <v>2.444</v>
      </c>
      <c r="D48" s="129">
        <f>'2'!Z53</f>
        <v>5.5604328072857152E-2</v>
      </c>
      <c r="E48" s="129">
        <f>'2'!AD53</f>
        <v>3.4676880961800006E-3</v>
      </c>
      <c r="G48" s="130">
        <f>B48*FE!$C$2</f>
        <v>32.199999999999996</v>
      </c>
      <c r="H48" s="130">
        <f>C48*FE!$C$2</f>
        <v>68.432000000000002</v>
      </c>
      <c r="I48" s="130">
        <f>D48*FE!$C$3</f>
        <v>14.735146939307146</v>
      </c>
      <c r="J48" s="130">
        <f>E48*FE!$C$3</f>
        <v>0.91893734548770012</v>
      </c>
      <c r="K48" s="130">
        <f t="shared" ref="K48:K51" si="7">G48+H48+I48</f>
        <v>115.36714693930715</v>
      </c>
    </row>
    <row r="49" spans="1:11">
      <c r="A49" s="135">
        <v>2015</v>
      </c>
      <c r="B49" s="130">
        <f>'2'!J54</f>
        <v>1.161</v>
      </c>
      <c r="C49">
        <f>'2'!R54</f>
        <v>2.7509999999999999</v>
      </c>
      <c r="D49" s="129">
        <f>'2'!Z54</f>
        <v>5.6159387483571438E-2</v>
      </c>
      <c r="E49" s="129">
        <f>'2'!AD54</f>
        <v>3.5023036194300004E-3</v>
      </c>
      <c r="G49" s="130">
        <f>B49*FE!$C$2</f>
        <v>32.508000000000003</v>
      </c>
      <c r="H49" s="130">
        <f>C49*FE!$C$2</f>
        <v>77.027999999999992</v>
      </c>
      <c r="I49" s="130">
        <f>D49*FE!$C$3</f>
        <v>14.882237683146432</v>
      </c>
      <c r="J49" s="130">
        <f>E49*FE!$C$3</f>
        <v>0.92811045914895007</v>
      </c>
      <c r="K49" s="130">
        <f t="shared" si="7"/>
        <v>124.41823768314643</v>
      </c>
    </row>
    <row r="50" spans="1:11">
      <c r="A50" s="135">
        <v>2016</v>
      </c>
      <c r="B50" s="130">
        <f>'2'!J55</f>
        <v>1.155</v>
      </c>
      <c r="C50">
        <f>'2'!R55</f>
        <v>2.7370000000000001</v>
      </c>
      <c r="D50" s="129">
        <f>'2'!Z55</f>
        <v>5.5881857778214278E-2</v>
      </c>
      <c r="E50" s="129">
        <f>'2'!AD55</f>
        <v>3.4849958578050005E-3</v>
      </c>
      <c r="G50" s="130">
        <f>B50*FE!$C$2</f>
        <v>32.340000000000003</v>
      </c>
      <c r="H50" s="130">
        <f>C50*FE!$C$2</f>
        <v>76.635999999999996</v>
      </c>
      <c r="I50" s="130">
        <f>D50*FE!$C$3</f>
        <v>14.808692311226784</v>
      </c>
      <c r="J50" s="130">
        <f>E50*FE!$C$3</f>
        <v>0.92352390231832515</v>
      </c>
      <c r="K50" s="130">
        <f t="shared" si="7"/>
        <v>123.78469231122678</v>
      </c>
    </row>
    <row r="51" spans="1:11">
      <c r="A51" s="135">
        <v>2017</v>
      </c>
      <c r="B51" s="130">
        <f>'2'!J56</f>
        <v>1.1579999999999999</v>
      </c>
      <c r="C51">
        <f>'2'!R56</f>
        <v>2.7440000000000002</v>
      </c>
      <c r="D51" s="129">
        <f>'2'!Z56</f>
        <v>5.6020626984300007E-2</v>
      </c>
      <c r="E51" s="129">
        <f>'2'!AD56</f>
        <v>3.4936500101118003E-3</v>
      </c>
      <c r="G51" s="130">
        <f>B51*FE!$C$2</f>
        <v>32.423999999999999</v>
      </c>
      <c r="H51" s="130">
        <f>C51*FE!$C$2</f>
        <v>76.832000000000008</v>
      </c>
      <c r="I51" s="130">
        <f>D51*FE!$C$3</f>
        <v>14.845466150839501</v>
      </c>
      <c r="J51" s="130">
        <f>E51*FE!$C$3</f>
        <v>0.92581725267962711</v>
      </c>
      <c r="K51" s="130">
        <f t="shared" si="7"/>
        <v>124.1014661508395</v>
      </c>
    </row>
    <row r="52" spans="1:11">
      <c r="A52" t="s">
        <v>401</v>
      </c>
    </row>
    <row r="53" spans="1:11">
      <c r="A53" s="135">
        <v>2013</v>
      </c>
      <c r="B53" t="s">
        <v>48</v>
      </c>
      <c r="C53" s="129">
        <f>'2'!L59</f>
        <v>9.7111315068493138E-3</v>
      </c>
      <c r="D53" s="129">
        <f>'2'!Z59</f>
        <v>3.3258746029551423E-3</v>
      </c>
      <c r="E53" s="134">
        <f>'2'!AD59</f>
        <v>3.5092024395120001E-4</v>
      </c>
      <c r="G53" s="130" t="e">
        <f>B53*FE!$C$2</f>
        <v>#VALUE!</v>
      </c>
      <c r="H53" s="130">
        <f>C53*FE!$C$2</f>
        <v>0.2719116821917808</v>
      </c>
      <c r="I53" s="130">
        <f>D53*FE!$C$3</f>
        <v>0.88135676978311273</v>
      </c>
      <c r="J53" s="130">
        <f>E53*FE!$C$3</f>
        <v>9.2993864647068006E-2</v>
      </c>
      <c r="K53" s="130">
        <f>H53+I53</f>
        <v>1.1532684519748935</v>
      </c>
    </row>
    <row r="54" spans="1:11">
      <c r="A54" s="135">
        <v>2014</v>
      </c>
      <c r="B54" t="s">
        <v>48</v>
      </c>
      <c r="C54" s="129">
        <f>'2'!L60</f>
        <v>1.1933975342465753E-2</v>
      </c>
      <c r="D54" s="129">
        <f>'2'!Z60</f>
        <v>4.0871555982745717E-3</v>
      </c>
      <c r="E54" s="134">
        <f>'2'!AD60</f>
        <v>4.3124465316240004E-4</v>
      </c>
      <c r="G54" s="130" t="e">
        <f>B54*FE!$C$2</f>
        <v>#VALUE!</v>
      </c>
      <c r="H54" s="130">
        <f>C54*FE!$C$2</f>
        <v>0.3341513095890411</v>
      </c>
      <c r="I54" s="130">
        <f>D54*FE!$C$3</f>
        <v>1.0830962335427614</v>
      </c>
      <c r="J54" s="130">
        <f>E54*FE!$C$3</f>
        <v>0.11427983308803601</v>
      </c>
      <c r="K54" s="130">
        <f t="shared" ref="K54:K57" si="8">H54+I54</f>
        <v>1.4172475431318026</v>
      </c>
    </row>
    <row r="55" spans="1:11">
      <c r="A55" s="135">
        <v>2015</v>
      </c>
      <c r="B55" t="s">
        <v>48</v>
      </c>
      <c r="C55" s="129">
        <f>'2'!L61</f>
        <v>1.3019607534246573E-2</v>
      </c>
      <c r="D55" s="129">
        <f>'2'!Z61</f>
        <v>4.4589636138747842E-3</v>
      </c>
      <c r="E55" s="134">
        <f>'2'!AD61</f>
        <v>4.7047492342619989E-4</v>
      </c>
      <c r="G55" s="130" t="e">
        <f>B55*FE!$C$2</f>
        <v>#VALUE!</v>
      </c>
      <c r="H55" s="130">
        <f>C55*FE!$C$2</f>
        <v>0.36454901095890402</v>
      </c>
      <c r="I55" s="130">
        <f>D55*FE!$C$3</f>
        <v>1.1816253576768179</v>
      </c>
      <c r="J55" s="130">
        <f>E55*FE!$C$3</f>
        <v>0.12467585470794297</v>
      </c>
      <c r="K55" s="130">
        <f t="shared" si="8"/>
        <v>1.5461743686357219</v>
      </c>
    </row>
    <row r="56" spans="1:11">
      <c r="A56" s="135">
        <v>2016</v>
      </c>
      <c r="B56" t="s">
        <v>48</v>
      </c>
      <c r="C56" s="129">
        <f>'2'!L62</f>
        <v>1.3941889726027397E-2</v>
      </c>
      <c r="D56" s="129">
        <f>'2'!Z62</f>
        <v>4.7748274157642136E-3</v>
      </c>
      <c r="E56" s="134">
        <f>'2'!AD62</f>
        <v>5.0380239834539999E-4</v>
      </c>
      <c r="G56" s="130" t="e">
        <f>B56*FE!$C$2</f>
        <v>#VALUE!</v>
      </c>
      <c r="H56" s="130">
        <f>C56*FE!$C$2</f>
        <v>0.39037291232876714</v>
      </c>
      <c r="I56" s="130">
        <f>D56*FE!$C$3</f>
        <v>1.2653292651775165</v>
      </c>
      <c r="J56" s="130">
        <f>E56*FE!$C$3</f>
        <v>0.133507635561531</v>
      </c>
      <c r="K56" s="130">
        <f t="shared" si="8"/>
        <v>1.6557021775062837</v>
      </c>
    </row>
    <row r="57" spans="1:11">
      <c r="A57" s="135">
        <v>2017</v>
      </c>
      <c r="B57" t="s">
        <v>48</v>
      </c>
      <c r="C57" s="129">
        <f>'2'!L63</f>
        <v>1.4296526712328766E-2</v>
      </c>
      <c r="D57" s="129">
        <f>'2'!Z63</f>
        <v>4.8962837203334999E-3</v>
      </c>
      <c r="E57" s="134">
        <f>'2'!AD63</f>
        <v>5.1661751650739992E-4</v>
      </c>
      <c r="G57" s="130" t="e">
        <f>B57*FE!$C$2</f>
        <v>#VALUE!</v>
      </c>
      <c r="H57" s="130">
        <f>C57*FE!$C$2</f>
        <v>0.40030274794520543</v>
      </c>
      <c r="I57" s="130">
        <f>D57*FE!$C$3</f>
        <v>1.2975151858883776</v>
      </c>
      <c r="J57" s="130">
        <f>E57*FE!$C$3</f>
        <v>0.13690364187446097</v>
      </c>
      <c r="K57" s="130">
        <f t="shared" si="8"/>
        <v>1.697817933833583</v>
      </c>
    </row>
    <row r="58" spans="1:11">
      <c r="A58" t="s">
        <v>415</v>
      </c>
    </row>
    <row r="59" spans="1:11">
      <c r="A59" s="135">
        <v>2013</v>
      </c>
      <c r="B59" t="s">
        <v>48</v>
      </c>
      <c r="C59" s="129">
        <f>'2'!L66</f>
        <v>1.0736772602739726E-3</v>
      </c>
      <c r="D59" s="129">
        <f>'2'!Z66</f>
        <v>1.0924345258673E-3</v>
      </c>
      <c r="E59" s="134">
        <f>'2'!AD66</f>
        <v>1.1526513656811999E-4</v>
      </c>
      <c r="G59" s="130" t="e">
        <f>B59*FE!$C$2</f>
        <v>#VALUE!</v>
      </c>
      <c r="H59" s="130">
        <f>C59*FE!$C$2</f>
        <v>3.0062963287671232E-2</v>
      </c>
      <c r="I59" s="130">
        <f>D59*FE!$C$3</f>
        <v>0.2894951493548345</v>
      </c>
      <c r="J59" s="130">
        <f>E59*FE!$C$3</f>
        <v>3.0545261190551797E-2</v>
      </c>
      <c r="K59" s="130">
        <f>H59+I59</f>
        <v>0.31955811264250572</v>
      </c>
    </row>
    <row r="60" spans="1:11">
      <c r="A60" s="135">
        <v>2014</v>
      </c>
      <c r="B60" t="s">
        <v>48</v>
      </c>
      <c r="C60" s="129">
        <f>'2'!L67</f>
        <v>1.0700579726027396E-3</v>
      </c>
      <c r="D60" s="129">
        <f>'2'!Z67</f>
        <v>1.0887520088229403E-3</v>
      </c>
      <c r="E60" s="134">
        <f>'2'!AD67</f>
        <v>1.1487658620653601E-4</v>
      </c>
      <c r="G60" s="130" t="e">
        <f>B60*FE!$C$2</f>
        <v>#VALUE!</v>
      </c>
      <c r="H60" s="130">
        <f>C60*FE!$C$2</f>
        <v>2.9961623232876707E-2</v>
      </c>
      <c r="I60" s="130">
        <f>D60*FE!$C$3</f>
        <v>0.28851928233807916</v>
      </c>
      <c r="J60" s="130">
        <f>E60*FE!$C$3</f>
        <v>3.0442295344732043E-2</v>
      </c>
      <c r="K60" s="130">
        <f t="shared" ref="K60:K63" si="9">H60+I60</f>
        <v>0.31848090557095587</v>
      </c>
    </row>
    <row r="61" spans="1:11">
      <c r="A61" s="135">
        <v>2015</v>
      </c>
      <c r="B61" t="s">
        <v>48</v>
      </c>
      <c r="C61" s="129">
        <f>'2'!L68</f>
        <v>1.1326866849315068E-3</v>
      </c>
      <c r="D61" s="129">
        <f>'2'!Z68</f>
        <v>1.1524748519807599E-3</v>
      </c>
      <c r="E61" s="134">
        <f>'2'!AD68</f>
        <v>1.2160012161774401E-4</v>
      </c>
      <c r="G61" s="130" t="e">
        <f>B61*FE!$C$2</f>
        <v>#VALUE!</v>
      </c>
      <c r="H61" s="130">
        <f>C61*FE!$C$2</f>
        <v>3.1715227178082193E-2</v>
      </c>
      <c r="I61" s="130">
        <f>D61*FE!$C$3</f>
        <v>0.30540583577490138</v>
      </c>
      <c r="J61" s="130">
        <f>E61*FE!$C$3</f>
        <v>3.2224032228702161E-2</v>
      </c>
      <c r="K61" s="130">
        <f t="shared" si="9"/>
        <v>0.33712106295298355</v>
      </c>
    </row>
    <row r="62" spans="1:11">
      <c r="A62" s="135">
        <v>2016</v>
      </c>
      <c r="B62" t="s">
        <v>48</v>
      </c>
      <c r="C62" s="129">
        <f>'2'!L69</f>
        <v>1.1859825753424656E-3</v>
      </c>
      <c r="D62" s="129">
        <f>'2'!Z69</f>
        <v>1.2067018277452598E-3</v>
      </c>
      <c r="E62" s="134">
        <f>'2'!AD69</f>
        <v>1.27321727461544E-4</v>
      </c>
      <c r="G62" s="130" t="e">
        <f>B62*FE!$C$2</f>
        <v>#VALUE!</v>
      </c>
      <c r="H62" s="130">
        <f>C62*FE!$C$2</f>
        <v>3.3207512109589041E-2</v>
      </c>
      <c r="I62" s="130">
        <f>D62*FE!$C$3</f>
        <v>0.31977598435249388</v>
      </c>
      <c r="J62" s="130">
        <f>E62*FE!$C$3</f>
        <v>3.3740257777309157E-2</v>
      </c>
      <c r="K62" s="130">
        <f t="shared" si="9"/>
        <v>0.35298349646208294</v>
      </c>
    </row>
    <row r="63" spans="1:11">
      <c r="A63" s="135">
        <v>2017</v>
      </c>
      <c r="B63" t="s">
        <v>48</v>
      </c>
      <c r="C63" s="129">
        <f>'2'!L70</f>
        <v>1.1078349589041094E-3</v>
      </c>
      <c r="D63" s="129">
        <f>'2'!Z70</f>
        <v>1.1271889634328401E-3</v>
      </c>
      <c r="E63" s="134">
        <f>'2'!AD70</f>
        <v>1.1893215266609601E-4</v>
      </c>
      <c r="G63" s="130" t="e">
        <f>B63*FE!$C$2</f>
        <v>#VALUE!</v>
      </c>
      <c r="H63" s="130">
        <f>C63*FE!$C$2</f>
        <v>3.1019378849315063E-2</v>
      </c>
      <c r="I63" s="130">
        <f>D63*FE!$C$3</f>
        <v>0.29870507530970264</v>
      </c>
      <c r="J63" s="130">
        <f>E63*FE!$C$3</f>
        <v>3.1517020456515443E-2</v>
      </c>
      <c r="K63" s="130">
        <f t="shared" si="9"/>
        <v>0.32972445415901769</v>
      </c>
    </row>
    <row r="64" spans="1:11">
      <c r="A64" t="s">
        <v>419</v>
      </c>
    </row>
    <row r="65" spans="1:12">
      <c r="A65" s="135">
        <v>2013</v>
      </c>
      <c r="B65" t="s">
        <v>48</v>
      </c>
      <c r="C65" s="129">
        <f>'2'!L73</f>
        <v>9.75322109589041E-4</v>
      </c>
      <c r="D65" s="129">
        <f>'2'!Z73</f>
        <v>1.7480848240190748E-3</v>
      </c>
      <c r="E65" s="134">
        <f>'2'!AD73</f>
        <v>1.844442217836792E-4</v>
      </c>
      <c r="G65" s="130" t="e">
        <f>B65*FE!$C$2</f>
        <v>#VALUE!</v>
      </c>
      <c r="H65" s="130">
        <f>C65*FE!$C$2</f>
        <v>2.7309019068493149E-2</v>
      </c>
      <c r="I65" s="130">
        <f>D65*FE!$C$3</f>
        <v>0.46324247836505483</v>
      </c>
      <c r="J65" s="130">
        <f>E65*FE!$C$3</f>
        <v>4.8877718772674987E-2</v>
      </c>
      <c r="K65" s="130">
        <f>H65+I65</f>
        <v>0.49055149743354798</v>
      </c>
    </row>
    <row r="66" spans="1:12">
      <c r="A66" s="135">
        <v>2014</v>
      </c>
      <c r="B66" t="s">
        <v>48</v>
      </c>
      <c r="C66" s="129">
        <f>'2'!L74</f>
        <v>1.2290473972602738E-3</v>
      </c>
      <c r="D66" s="129">
        <f>'2'!Z74</f>
        <v>2.2028405611107336E-3</v>
      </c>
      <c r="E66" s="134">
        <f>'2'!AD74</f>
        <v>2.3242648607488795E-4</v>
      </c>
      <c r="G66" s="130" t="e">
        <f>B66*FE!$C$2</f>
        <v>#VALUE!</v>
      </c>
      <c r="H66" s="130">
        <f>C66*FE!$C$2</f>
        <v>3.4413327123287665E-2</v>
      </c>
      <c r="I66" s="130">
        <f>D66*FE!$C$3</f>
        <v>0.58375274869434435</v>
      </c>
      <c r="J66" s="130">
        <f>E66*FE!$C$3</f>
        <v>6.1593018809845308E-2</v>
      </c>
      <c r="K66" s="130">
        <f t="shared" ref="K66:K69" si="10">H66+I66</f>
        <v>0.61816607581763205</v>
      </c>
    </row>
    <row r="67" spans="1:12">
      <c r="A67" s="135">
        <v>2015</v>
      </c>
      <c r="B67" t="s">
        <v>48</v>
      </c>
      <c r="C67" s="129">
        <f>'2'!L75</f>
        <v>1.7058866301369862E-3</v>
      </c>
      <c r="D67" s="129">
        <f>'2'!Z75</f>
        <v>3.0574868551847025E-3</v>
      </c>
      <c r="E67" s="134">
        <f>'2'!AD75</f>
        <v>3.2260207048866727E-4</v>
      </c>
      <c r="G67" s="130" t="e">
        <f>B67*FE!$C$2</f>
        <v>#VALUE!</v>
      </c>
      <c r="H67" s="130">
        <f>C67*FE!$C$2</f>
        <v>4.7764825643835614E-2</v>
      </c>
      <c r="I67" s="130">
        <f>D67*FE!$C$3</f>
        <v>0.81023401662394612</v>
      </c>
      <c r="J67" s="130">
        <f>E67*FE!$C$3</f>
        <v>8.5489548679496832E-2</v>
      </c>
      <c r="K67" s="130">
        <f t="shared" si="10"/>
        <v>0.85799884226778178</v>
      </c>
    </row>
    <row r="68" spans="1:12">
      <c r="A68" s="135">
        <v>2016</v>
      </c>
      <c r="B68" t="s">
        <v>48</v>
      </c>
      <c r="C68" s="129">
        <f>'2'!L76</f>
        <v>1.2027168493150683E-3</v>
      </c>
      <c r="D68" s="129">
        <f>'2'!Z76</f>
        <v>2.1556479148879242E-3</v>
      </c>
      <c r="E68" s="134">
        <f>'2'!AD76</f>
        <v>2.2744708760012399E-4</v>
      </c>
      <c r="G68" s="130" t="e">
        <f>B68*FE!$C$2</f>
        <v>#VALUE!</v>
      </c>
      <c r="H68" s="130">
        <f>C68*FE!$C$2</f>
        <v>3.3676071780821909E-2</v>
      </c>
      <c r="I68" s="130">
        <f>D68*FE!$C$3</f>
        <v>0.57124669744529988</v>
      </c>
      <c r="J68" s="130">
        <f>E68*FE!$C$3</f>
        <v>6.0273478214032859E-2</v>
      </c>
      <c r="K68" s="130">
        <f t="shared" si="10"/>
        <v>0.60492276922612176</v>
      </c>
    </row>
    <row r="69" spans="1:12">
      <c r="A69" s="135">
        <v>2017</v>
      </c>
      <c r="B69" t="s">
        <v>48</v>
      </c>
      <c r="C69" s="129">
        <f>'2'!L77</f>
        <v>7.218098630136985E-4</v>
      </c>
      <c r="D69" s="129">
        <f>'2'!Z77</f>
        <v>1.2937109237615826E-3</v>
      </c>
      <c r="E69" s="134">
        <f>'2'!AD77</f>
        <v>1.3650224592513601E-4</v>
      </c>
      <c r="G69" s="130" t="e">
        <f>B69*FE!$C$2</f>
        <v>#VALUE!</v>
      </c>
      <c r="H69" s="130">
        <f>C69*FE!$C$2</f>
        <v>2.0210676164383559E-2</v>
      </c>
      <c r="I69" s="130">
        <f>D69*FE!$C$3</f>
        <v>0.3428333947968194</v>
      </c>
      <c r="J69" s="130">
        <f>E69*FE!$C$3</f>
        <v>3.617309517016104E-2</v>
      </c>
      <c r="K69" s="130">
        <f t="shared" si="10"/>
        <v>0.36304407096120295</v>
      </c>
    </row>
    <row r="71" spans="1:12">
      <c r="A71" t="s">
        <v>14</v>
      </c>
      <c r="B71" t="s">
        <v>420</v>
      </c>
      <c r="C71" t="s">
        <v>421</v>
      </c>
      <c r="D71" t="s">
        <v>422</v>
      </c>
      <c r="E71" t="s">
        <v>423</v>
      </c>
      <c r="G71" t="s">
        <v>437</v>
      </c>
      <c r="H71" t="s">
        <v>438</v>
      </c>
      <c r="I71" t="s">
        <v>439</v>
      </c>
      <c r="J71" t="s">
        <v>440</v>
      </c>
      <c r="K71" t="s">
        <v>441</v>
      </c>
      <c r="L71" t="s">
        <v>234</v>
      </c>
    </row>
    <row r="72" spans="1:12">
      <c r="A72" s="135">
        <v>2013</v>
      </c>
      <c r="B72" s="130">
        <f>B5+B11+B17+B23+B29+B35+B41+B47</f>
        <v>119.98951236789998</v>
      </c>
      <c r="C72" s="130">
        <f>C5+C11+C17+C23+C29+C35+C41+C47+C53+C59+C65</f>
        <v>115.77912433058231</v>
      </c>
      <c r="D72" s="130">
        <f t="shared" ref="D72:E72" si="11">D5+D11+D17+D23+D29+D35+D41+D47+D53+D59+D65</f>
        <v>3.4535645567272812</v>
      </c>
      <c r="E72" s="130">
        <f t="shared" si="11"/>
        <v>0.89671812792231498</v>
      </c>
      <c r="G72" s="130">
        <f>G5+G11+G17+G23+G29+G35+G41+G47</f>
        <v>3359.7063463011996</v>
      </c>
      <c r="H72" s="130">
        <f>H5+H11+H17+H23+H29+H35+H41+H47+H53+H59+H65</f>
        <v>3241.8154812563048</v>
      </c>
      <c r="I72" s="130">
        <f t="shared" ref="I72:J72" si="12">I5+I11+I17+I23+I29+I35+I41+I47+I53+I59+I65</f>
        <v>915.19460753272961</v>
      </c>
      <c r="J72" s="130">
        <f t="shared" si="12"/>
        <v>237.63030389941349</v>
      </c>
      <c r="K72" s="130">
        <f>G72+H72+I72</f>
        <v>7516.716435090234</v>
      </c>
      <c r="L72" s="130">
        <f>J72</f>
        <v>237.63030389941349</v>
      </c>
    </row>
    <row r="73" spans="1:12">
      <c r="A73" s="135">
        <v>2014</v>
      </c>
      <c r="B73" s="130">
        <f t="shared" ref="B73:B76" si="13">B6+B12+B18+B24+B30+B36+B42+B48</f>
        <v>122.71008586710001</v>
      </c>
      <c r="C73" s="130">
        <f t="shared" ref="C73:E76" si="14">C6+C12+C18+C24+C30+C36+C42+C48+C54+C60+C66</f>
        <v>117.11915412138853</v>
      </c>
      <c r="D73" s="130">
        <f t="shared" si="14"/>
        <v>3.2757318946904812</v>
      </c>
      <c r="E73" s="130">
        <f t="shared" si="14"/>
        <v>0.90804555129290521</v>
      </c>
      <c r="G73" s="130">
        <f t="shared" ref="G73:G76" si="15">G6+G12+G18+G24+G30+G36+G42+G48</f>
        <v>3435.8824042787996</v>
      </c>
      <c r="H73" s="130">
        <f t="shared" ref="H73:J73" si="16">H6+H12+H18+H24+H30+H36+H42+H48+H54+H60+H66</f>
        <v>3279.3363153988776</v>
      </c>
      <c r="I73" s="130">
        <f t="shared" si="16"/>
        <v>868.06895209297761</v>
      </c>
      <c r="J73" s="130">
        <f t="shared" si="16"/>
        <v>240.63207109261984</v>
      </c>
      <c r="K73" s="130">
        <f t="shared" ref="K73:K76" si="17">G73+H73+I73</f>
        <v>7583.2876717706549</v>
      </c>
      <c r="L73" s="130">
        <f t="shared" ref="L73:L76" si="18">J73</f>
        <v>240.63207109261984</v>
      </c>
    </row>
    <row r="74" spans="1:12">
      <c r="A74" s="135">
        <v>2015</v>
      </c>
      <c r="B74" s="130">
        <f t="shared" si="13"/>
        <v>128.54590933759997</v>
      </c>
      <c r="C74" s="130">
        <f t="shared" si="14"/>
        <v>121.54689544325788</v>
      </c>
      <c r="D74" s="130">
        <f t="shared" si="14"/>
        <v>3.4150807939755943</v>
      </c>
      <c r="E74" s="130">
        <f t="shared" si="14"/>
        <v>0.95278220473414788</v>
      </c>
      <c r="G74" s="130">
        <f t="shared" si="15"/>
        <v>3599.2854614527992</v>
      </c>
      <c r="H74" s="130">
        <f t="shared" ref="H74:J74" si="19">H7+H13+H19+H25+H31+H37+H43+H49+H55+H61+H67</f>
        <v>3403.3130724112198</v>
      </c>
      <c r="I74" s="130">
        <f t="shared" si="19"/>
        <v>904.99641040353231</v>
      </c>
      <c r="J74" s="130">
        <f t="shared" si="19"/>
        <v>252.48728425454914</v>
      </c>
      <c r="K74" s="130">
        <f t="shared" si="17"/>
        <v>7907.594944267551</v>
      </c>
      <c r="L74" s="130">
        <f t="shared" si="18"/>
        <v>252.48728425454914</v>
      </c>
    </row>
    <row r="75" spans="1:12">
      <c r="A75" s="135">
        <v>2016</v>
      </c>
      <c r="B75" s="130">
        <f t="shared" si="13"/>
        <v>142.13748694679998</v>
      </c>
      <c r="C75" s="130">
        <f t="shared" si="14"/>
        <v>135.17775704384664</v>
      </c>
      <c r="D75" s="130">
        <f t="shared" si="14"/>
        <v>4.3217058068473637</v>
      </c>
      <c r="E75" s="130">
        <f t="shared" si="14"/>
        <v>1.2606136288996963</v>
      </c>
      <c r="G75" s="130">
        <f t="shared" si="15"/>
        <v>3979.8496345103995</v>
      </c>
      <c r="H75" s="130">
        <f t="shared" ref="H75:J75" si="20">H8+H14+H20+H26+H32+H38+H44+H50+H56+H62+H68</f>
        <v>3784.9771972277067</v>
      </c>
      <c r="I75" s="130">
        <f t="shared" si="20"/>
        <v>1145.2520388145513</v>
      </c>
      <c r="J75" s="130">
        <f t="shared" si="20"/>
        <v>334.0626116584196</v>
      </c>
      <c r="K75" s="130">
        <f t="shared" si="17"/>
        <v>8910.0788705526575</v>
      </c>
      <c r="L75" s="130">
        <f t="shared" si="18"/>
        <v>334.0626116584196</v>
      </c>
    </row>
    <row r="76" spans="1:12">
      <c r="A76" s="135">
        <v>2017</v>
      </c>
      <c r="B76" s="130">
        <f t="shared" si="13"/>
        <v>145.70934984299996</v>
      </c>
      <c r="C76" s="130">
        <f t="shared" si="14"/>
        <v>138.58670400154458</v>
      </c>
      <c r="D76" s="130">
        <f t="shared" si="14"/>
        <v>4.746903848225692</v>
      </c>
      <c r="E76" s="130">
        <f t="shared" si="14"/>
        <v>1.3847971709050968</v>
      </c>
      <c r="G76" s="130">
        <f t="shared" si="15"/>
        <v>4079.8617956040007</v>
      </c>
      <c r="H76" s="130">
        <f t="shared" ref="H76:J76" si="21">H9+H15+H21+H27+H33+H39+H45+H51+H57+H63+H69</f>
        <v>3880.4277120432466</v>
      </c>
      <c r="I76" s="130">
        <f t="shared" si="21"/>
        <v>1257.9295197798083</v>
      </c>
      <c r="J76" s="130">
        <f t="shared" si="21"/>
        <v>366.97125028985084</v>
      </c>
      <c r="K76" s="130">
        <f t="shared" si="17"/>
        <v>9218.2190274270542</v>
      </c>
      <c r="L76" s="130">
        <f t="shared" si="18"/>
        <v>366.97125028985084</v>
      </c>
    </row>
    <row r="80" spans="1:12">
      <c r="A80" t="s">
        <v>37</v>
      </c>
      <c r="B80">
        <v>2013</v>
      </c>
      <c r="C80">
        <v>2014</v>
      </c>
      <c r="D80">
        <v>2015</v>
      </c>
      <c r="E80">
        <v>2016</v>
      </c>
      <c r="F80">
        <v>2017</v>
      </c>
    </row>
    <row r="81" spans="1:6">
      <c r="A81" t="s">
        <v>426</v>
      </c>
      <c r="B81" s="130">
        <f>K5</f>
        <v>1179.6255587174539</v>
      </c>
      <c r="C81" s="130">
        <f>K6</f>
        <v>1236.2496133862571</v>
      </c>
      <c r="D81" s="130">
        <f>K7</f>
        <v>1268.2637522199304</v>
      </c>
      <c r="E81" s="130">
        <f>K8</f>
        <v>1294.9190027806071</v>
      </c>
      <c r="F81" s="130">
        <f>K9</f>
        <v>1348.1378177501108</v>
      </c>
    </row>
    <row r="82" spans="1:6">
      <c r="A82" t="s">
        <v>442</v>
      </c>
      <c r="B82" s="130">
        <f>K11</f>
        <v>5657.735431991835</v>
      </c>
      <c r="C82" s="130">
        <f>K12</f>
        <v>5763.930130129208</v>
      </c>
      <c r="D82" s="130">
        <f>K13</f>
        <v>6028.5180839126369</v>
      </c>
      <c r="E82" s="130">
        <f>K14</f>
        <v>6989.292983107207</v>
      </c>
      <c r="F82" s="130">
        <f>K15</f>
        <v>7217.3470080525694</v>
      </c>
    </row>
    <row r="83" spans="1:6">
      <c r="A83" t="s">
        <v>2</v>
      </c>
      <c r="B83" s="130">
        <f>K17</f>
        <v>384.70246098814073</v>
      </c>
      <c r="C83" s="130">
        <f>K18</f>
        <v>287.127363487482</v>
      </c>
      <c r="D83" s="130">
        <f>K19</f>
        <v>301.1453360486372</v>
      </c>
      <c r="E83" s="130">
        <f>K20</f>
        <v>317.01691046685278</v>
      </c>
      <c r="F83" s="130">
        <f>K21</f>
        <v>343.19136968986879</v>
      </c>
    </row>
    <row r="84" spans="1:6">
      <c r="A84" t="s">
        <v>68</v>
      </c>
      <c r="B84" s="130">
        <f>K23</f>
        <v>57.586192466888605</v>
      </c>
      <c r="C84" s="130">
        <f>K24</f>
        <v>59.677531647463425</v>
      </c>
      <c r="D84" s="130">
        <f>K25</f>
        <v>60.250350953248166</v>
      </c>
      <c r="E84" s="130">
        <f>K26</f>
        <v>60.344170077848304</v>
      </c>
      <c r="F84" s="130">
        <f>K27</f>
        <v>61.014727179338408</v>
      </c>
    </row>
    <row r="85" spans="1:6">
      <c r="A85" t="s">
        <v>72</v>
      </c>
      <c r="B85" s="130">
        <f>K29</f>
        <v>51.054408148361404</v>
      </c>
      <c r="C85" s="130">
        <f>K30</f>
        <v>52.417935974272858</v>
      </c>
      <c r="D85" s="130">
        <f>K31</f>
        <v>53.708300974391094</v>
      </c>
      <c r="E85" s="130">
        <f>K32</f>
        <v>53.756743954386337</v>
      </c>
      <c r="F85" s="130">
        <f>K33</f>
        <v>53.736739142764407</v>
      </c>
    </row>
    <row r="86" spans="1:6">
      <c r="A86" t="s">
        <v>74</v>
      </c>
      <c r="B86" s="130">
        <f>K35</f>
        <v>60.667507455382392</v>
      </c>
      <c r="C86" s="130">
        <f>K36</f>
        <v>60.882888745596865</v>
      </c>
      <c r="D86" s="130">
        <f>K37</f>
        <v>62.746433881490894</v>
      </c>
      <c r="E86" s="130">
        <f>K38</f>
        <v>62.666426203057732</v>
      </c>
      <c r="F86" s="130">
        <f>K39</f>
        <v>62.555569238364406</v>
      </c>
    </row>
    <row r="87" spans="1:6">
      <c r="A87" t="s">
        <v>443</v>
      </c>
      <c r="B87" s="130">
        <f>K41+K47</f>
        <v>123.38149726012229</v>
      </c>
      <c r="C87" s="130">
        <f>K42+K48</f>
        <v>120.64831387585544</v>
      </c>
      <c r="D87" s="130">
        <f>K43+K49</f>
        <v>130.22139200336125</v>
      </c>
      <c r="E87" s="130">
        <f>K44+K50</f>
        <v>129.46902551950313</v>
      </c>
      <c r="F87" s="130">
        <f>K45+K51</f>
        <v>129.84520991508509</v>
      </c>
    </row>
    <row r="88" spans="1:6">
      <c r="A88" t="s">
        <v>444</v>
      </c>
      <c r="B88" s="130">
        <f>K53+K59+K65</f>
        <v>1.9633780620509471</v>
      </c>
      <c r="C88" s="130">
        <f>K54+K60+K66</f>
        <v>2.3538945245203906</v>
      </c>
      <c r="D88" s="130">
        <f>K55+K61+K67</f>
        <v>2.7412942738564872</v>
      </c>
      <c r="E88" s="130">
        <f>K56+K62+K68</f>
        <v>2.6136084431944884</v>
      </c>
      <c r="F88" s="130">
        <f>K57+K63+K69</f>
        <v>2.3905864589538037</v>
      </c>
    </row>
    <row r="91" spans="1:6">
      <c r="A91" t="s">
        <v>426</v>
      </c>
      <c r="B91" s="109">
        <v>1348.1378177501108</v>
      </c>
    </row>
    <row r="92" spans="1:6">
      <c r="A92" t="s">
        <v>442</v>
      </c>
      <c r="B92" s="109">
        <v>7217.3470080525694</v>
      </c>
    </row>
    <row r="93" spans="1:6">
      <c r="A93" t="s">
        <v>2</v>
      </c>
      <c r="B93" s="109">
        <v>343.19136968986879</v>
      </c>
    </row>
    <row r="94" spans="1:6">
      <c r="A94" t="s">
        <v>68</v>
      </c>
      <c r="B94" s="109">
        <v>61.014727179338408</v>
      </c>
    </row>
    <row r="95" spans="1:6">
      <c r="A95" t="s">
        <v>72</v>
      </c>
      <c r="B95" s="109">
        <v>53.736739142764407</v>
      </c>
    </row>
    <row r="96" spans="1:6">
      <c r="A96" t="s">
        <v>74</v>
      </c>
      <c r="B96" s="109">
        <v>62.555569238364406</v>
      </c>
    </row>
    <row r="97" spans="1:2">
      <c r="A97" t="s">
        <v>443</v>
      </c>
      <c r="B97" s="109">
        <v>129.84520991508509</v>
      </c>
    </row>
    <row r="98" spans="1:2">
      <c r="A98" t="s">
        <v>444</v>
      </c>
      <c r="B98" s="109">
        <v>2.3905864589538037</v>
      </c>
    </row>
  </sheetData>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5D25-FD51-644B-8948-7A623D2793A7}">
  <dimension ref="A10:G15"/>
  <sheetViews>
    <sheetView workbookViewId="0">
      <selection activeCell="A10" sqref="A10:G15"/>
    </sheetView>
  </sheetViews>
  <sheetFormatPr defaultColWidth="11.5703125" defaultRowHeight="15"/>
  <sheetData>
    <row r="10" spans="1:7">
      <c r="A10" t="s">
        <v>400</v>
      </c>
      <c r="B10" t="s">
        <v>398</v>
      </c>
      <c r="C10" t="s">
        <v>68</v>
      </c>
      <c r="D10" t="s">
        <v>72</v>
      </c>
      <c r="E10" t="s">
        <v>74</v>
      </c>
      <c r="F10" t="s">
        <v>399</v>
      </c>
      <c r="G10" t="s">
        <v>397</v>
      </c>
    </row>
    <row r="11" spans="1:7">
      <c r="A11">
        <v>2013</v>
      </c>
      <c r="B11">
        <v>42766791.886916697</v>
      </c>
      <c r="C11">
        <v>1552907.7277639378</v>
      </c>
      <c r="D11">
        <v>1305170.6158411829</v>
      </c>
      <c r="E11">
        <v>4823071.5581999999</v>
      </c>
      <c r="F11">
        <v>204827.64056999999</v>
      </c>
      <c r="G11" s="110">
        <v>4823071.5599999996</v>
      </c>
    </row>
    <row r="12" spans="1:7">
      <c r="A12">
        <v>2014</v>
      </c>
      <c r="B12">
        <v>43569517.042471752</v>
      </c>
      <c r="C12">
        <v>1658869.2882461697</v>
      </c>
      <c r="D12">
        <v>1401879.8419668002</v>
      </c>
      <c r="E12">
        <v>4728665.5856999997</v>
      </c>
      <c r="F12">
        <v>188711.98573499999</v>
      </c>
      <c r="G12" s="110">
        <v>4728665.59</v>
      </c>
    </row>
    <row r="13" spans="1:7">
      <c r="A13">
        <v>2015</v>
      </c>
      <c r="B13">
        <v>46037651.525848612</v>
      </c>
      <c r="C13">
        <v>1596956.8755820678</v>
      </c>
      <c r="D13">
        <v>1379476.0513117502</v>
      </c>
      <c r="E13">
        <v>4775868.5719499998</v>
      </c>
      <c r="F13">
        <v>196769.81315250002</v>
      </c>
      <c r="G13" s="110">
        <v>4775868.57</v>
      </c>
    </row>
    <row r="14" spans="1:7">
      <c r="A14">
        <v>2016</v>
      </c>
      <c r="B14">
        <v>62106022.548072375</v>
      </c>
      <c r="C14">
        <v>1612753.1106662429</v>
      </c>
      <c r="D14">
        <v>1400031.203171405</v>
      </c>
      <c r="E14">
        <v>4752267.0788249997</v>
      </c>
      <c r="F14">
        <v>192740.89944375001</v>
      </c>
      <c r="G14" s="110">
        <v>4752267.08</v>
      </c>
    </row>
    <row r="15" spans="1:7">
      <c r="A15">
        <v>2017</v>
      </c>
      <c r="B15">
        <v>68183872.611813203</v>
      </c>
      <c r="C15">
        <v>1637469.5817548248</v>
      </c>
      <c r="D15">
        <v>1402713.0820824802</v>
      </c>
      <c r="E15">
        <v>4764067.8253875002</v>
      </c>
      <c r="F15">
        <v>194755.35629812506</v>
      </c>
      <c r="G15" s="110">
        <v>4764067.83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ADB2-964C-49AB-AF96-5F49041FF0F7}">
  <dimension ref="C1:M35"/>
  <sheetViews>
    <sheetView zoomScale="130" zoomScaleNormal="130" workbookViewId="0">
      <selection activeCell="F24" sqref="F24"/>
    </sheetView>
  </sheetViews>
  <sheetFormatPr defaultRowHeight="15"/>
  <cols>
    <col min="3" max="3" width="32.7109375" customWidth="1"/>
    <col min="4" max="6" width="19.7109375" customWidth="1"/>
  </cols>
  <sheetData>
    <row r="1" spans="3:13">
      <c r="C1" t="s">
        <v>517</v>
      </c>
      <c r="E1" t="s">
        <v>516</v>
      </c>
      <c r="F1" t="s">
        <v>518</v>
      </c>
    </row>
    <row r="2" spans="3:13">
      <c r="C2" t="s">
        <v>507</v>
      </c>
      <c r="D2" t="s">
        <v>508</v>
      </c>
      <c r="E2">
        <v>54</v>
      </c>
    </row>
    <row r="3" spans="3:13">
      <c r="C3" t="s">
        <v>509</v>
      </c>
      <c r="D3" t="s">
        <v>508</v>
      </c>
      <c r="E3">
        <v>53</v>
      </c>
      <c r="F3">
        <v>53</v>
      </c>
    </row>
    <row r="4" spans="3:13">
      <c r="C4" t="s">
        <v>513</v>
      </c>
      <c r="D4" t="s">
        <v>508</v>
      </c>
      <c r="E4">
        <v>21</v>
      </c>
      <c r="F4">
        <v>53</v>
      </c>
    </row>
    <row r="5" spans="3:13">
      <c r="C5" t="s">
        <v>510</v>
      </c>
      <c r="D5" t="s">
        <v>515</v>
      </c>
      <c r="E5">
        <v>200</v>
      </c>
    </row>
    <row r="6" spans="3:13">
      <c r="C6" t="s">
        <v>512</v>
      </c>
      <c r="D6" t="s">
        <v>508</v>
      </c>
      <c r="E6">
        <v>16</v>
      </c>
      <c r="F6">
        <v>0</v>
      </c>
    </row>
    <row r="7" spans="3:13">
      <c r="C7" t="s">
        <v>511</v>
      </c>
      <c r="D7" t="s">
        <v>508</v>
      </c>
      <c r="E7">
        <v>16</v>
      </c>
      <c r="F7">
        <v>0</v>
      </c>
    </row>
    <row r="8" spans="3:13">
      <c r="C8" t="s">
        <v>519</v>
      </c>
      <c r="D8" t="s">
        <v>514</v>
      </c>
      <c r="E8">
        <f>3.5*280</f>
        <v>980</v>
      </c>
    </row>
    <row r="9" spans="3:13">
      <c r="C9" t="s">
        <v>520</v>
      </c>
      <c r="D9" t="s">
        <v>514</v>
      </c>
      <c r="F9">
        <f>1.5*280</f>
        <v>420</v>
      </c>
    </row>
    <row r="10" spans="3:13">
      <c r="C10" t="s">
        <v>521</v>
      </c>
      <c r="D10" t="s">
        <v>522</v>
      </c>
      <c r="E10">
        <v>16</v>
      </c>
      <c r="F10">
        <v>16</v>
      </c>
    </row>
    <row r="12" spans="3:13">
      <c r="C12" t="s">
        <v>536</v>
      </c>
    </row>
    <row r="13" spans="3:13">
      <c r="C13" t="s">
        <v>537</v>
      </c>
    </row>
    <row r="14" spans="3:13">
      <c r="D14" t="s">
        <v>506</v>
      </c>
      <c r="M14">
        <f>5.5-2.1</f>
        <v>3.4</v>
      </c>
    </row>
    <row r="15" spans="3:13">
      <c r="C15" t="s">
        <v>524</v>
      </c>
      <c r="D15" s="217"/>
      <c r="M15">
        <f>2755-2520</f>
        <v>235</v>
      </c>
    </row>
    <row r="16" spans="3:13">
      <c r="C16" t="s">
        <v>523</v>
      </c>
      <c r="D16" s="217"/>
      <c r="M16">
        <f>M14*M15</f>
        <v>799</v>
      </c>
    </row>
    <row r="17" spans="3:13">
      <c r="C17" t="s">
        <v>525</v>
      </c>
      <c r="D17" s="217"/>
      <c r="M17">
        <f>20*M16</f>
        <v>15980</v>
      </c>
    </row>
    <row r="18" spans="3:13">
      <c r="C18" t="s">
        <v>502</v>
      </c>
      <c r="M18">
        <f>M16*53</f>
        <v>42347</v>
      </c>
    </row>
    <row r="19" spans="3:13">
      <c r="C19" t="s">
        <v>503</v>
      </c>
    </row>
    <row r="20" spans="3:13">
      <c r="C20" t="s">
        <v>504</v>
      </c>
    </row>
    <row r="21" spans="3:13">
      <c r="C21" t="s">
        <v>505</v>
      </c>
    </row>
    <row r="24" spans="3:13">
      <c r="C24" s="219" t="s">
        <v>526</v>
      </c>
      <c r="E24" s="220">
        <v>10556304</v>
      </c>
      <c r="F24" s="220">
        <v>26975729</v>
      </c>
    </row>
    <row r="25" spans="3:13">
      <c r="C25" s="219" t="s">
        <v>527</v>
      </c>
      <c r="E25" s="220">
        <v>7885476</v>
      </c>
      <c r="F25" s="220">
        <v>9548374</v>
      </c>
    </row>
    <row r="26" spans="3:13" ht="24">
      <c r="C26" s="219" t="s">
        <v>528</v>
      </c>
      <c r="E26" s="220">
        <v>2670828</v>
      </c>
      <c r="F26" s="220">
        <v>17427355</v>
      </c>
    </row>
    <row r="27" spans="3:13">
      <c r="C27" s="219" t="s">
        <v>529</v>
      </c>
      <c r="E27" s="221">
        <v>7.0000000000000001E-3</v>
      </c>
      <c r="F27" s="221">
        <v>0.13300000000000001</v>
      </c>
    </row>
    <row r="28" spans="3:13">
      <c r="C28" s="219" t="s">
        <v>530</v>
      </c>
      <c r="E28" s="220">
        <v>-4717022</v>
      </c>
      <c r="F28" s="220">
        <v>2202170</v>
      </c>
    </row>
    <row r="29" spans="3:13" ht="24">
      <c r="C29" s="219" t="s">
        <v>531</v>
      </c>
      <c r="E29" s="223" t="s">
        <v>532</v>
      </c>
      <c r="F29" s="223" t="s">
        <v>533</v>
      </c>
    </row>
    <row r="30" spans="3:13" ht="24">
      <c r="C30" s="219" t="s">
        <v>534</v>
      </c>
      <c r="E30" s="222">
        <v>1.34</v>
      </c>
      <c r="F30" s="222">
        <v>2.8</v>
      </c>
    </row>
    <row r="31" spans="3:13" ht="24">
      <c r="C31" s="219" t="s">
        <v>535</v>
      </c>
      <c r="E31" s="222">
        <v>0.47</v>
      </c>
      <c r="F31" s="222">
        <v>1.2</v>
      </c>
    </row>
    <row r="32" spans="3:13">
      <c r="C32" s="218"/>
    </row>
    <row r="35" spans="3:3">
      <c r="C35" t="s">
        <v>538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D0B3-3DE7-4255-A4A6-B504750AEF37}">
  <dimension ref="B1:O109"/>
  <sheetViews>
    <sheetView topLeftCell="A22" zoomScale="110" zoomScaleNormal="110" workbookViewId="0">
      <selection activeCell="E75" sqref="E75"/>
    </sheetView>
  </sheetViews>
  <sheetFormatPr defaultRowHeight="15"/>
  <cols>
    <col min="5" max="5" width="38.85546875" customWidth="1"/>
    <col min="6" max="6" width="23.140625" customWidth="1"/>
    <col min="7" max="9" width="16.140625" customWidth="1"/>
    <col min="11" max="11" width="16.140625" customWidth="1"/>
    <col min="12" max="12" width="4.85546875" customWidth="1"/>
    <col min="13" max="13" width="21" bestFit="1" customWidth="1"/>
    <col min="14" max="14" width="4.85546875" customWidth="1"/>
  </cols>
  <sheetData>
    <row r="1" spans="5:11">
      <c r="G1" t="s">
        <v>631</v>
      </c>
      <c r="H1" t="s">
        <v>630</v>
      </c>
    </row>
    <row r="2" spans="5:11">
      <c r="E2" t="s">
        <v>509</v>
      </c>
      <c r="F2" t="s">
        <v>508</v>
      </c>
      <c r="G2">
        <v>53</v>
      </c>
      <c r="H2">
        <v>53</v>
      </c>
    </row>
    <row r="4" spans="5:11" ht="18">
      <c r="E4" t="s">
        <v>629</v>
      </c>
      <c r="F4" t="s">
        <v>541</v>
      </c>
      <c r="G4">
        <v>1</v>
      </c>
    </row>
    <row r="5" spans="5:11">
      <c r="E5" t="s">
        <v>628</v>
      </c>
      <c r="F5" t="s">
        <v>627</v>
      </c>
      <c r="G5">
        <v>1</v>
      </c>
    </row>
    <row r="6" spans="5:11">
      <c r="E6" t="s">
        <v>626</v>
      </c>
      <c r="G6">
        <f>G4/G5</f>
        <v>1</v>
      </c>
    </row>
    <row r="7" spans="5:11" ht="18">
      <c r="E7" t="s">
        <v>625</v>
      </c>
      <c r="F7" t="s">
        <v>541</v>
      </c>
      <c r="H7">
        <f>G2*G20</f>
        <v>530</v>
      </c>
    </row>
    <row r="16" spans="5:11">
      <c r="K16">
        <f>1500/40000</f>
        <v>3.7499999999999999E-2</v>
      </c>
    </row>
    <row r="20" spans="3:14" ht="18">
      <c r="D20" t="s">
        <v>455</v>
      </c>
      <c r="E20" t="s">
        <v>539</v>
      </c>
      <c r="F20" t="s">
        <v>542</v>
      </c>
      <c r="G20">
        <v>10</v>
      </c>
    </row>
    <row r="22" spans="3:14">
      <c r="K22" t="s">
        <v>624</v>
      </c>
    </row>
    <row r="23" spans="3:14">
      <c r="G23" s="253" t="s">
        <v>547</v>
      </c>
      <c r="H23" s="253" t="s">
        <v>548</v>
      </c>
      <c r="I23" s="253" t="s">
        <v>518</v>
      </c>
      <c r="K23" s="253" t="s">
        <v>547</v>
      </c>
      <c r="L23" s="253" t="s">
        <v>588</v>
      </c>
      <c r="M23" s="253"/>
      <c r="N23" s="253"/>
    </row>
    <row r="24" spans="3:14">
      <c r="E24" t="s">
        <v>545</v>
      </c>
      <c r="F24" t="s">
        <v>559</v>
      </c>
      <c r="G24" s="226">
        <v>10000</v>
      </c>
      <c r="H24" s="226">
        <v>10000</v>
      </c>
      <c r="I24" s="226">
        <v>10000</v>
      </c>
      <c r="K24" s="226">
        <f>K25/1000</f>
        <v>1202282.625</v>
      </c>
      <c r="M24" s="252">
        <v>84806.297000000006</v>
      </c>
    </row>
    <row r="25" spans="3:14">
      <c r="E25" t="s">
        <v>545</v>
      </c>
      <c r="F25" t="s">
        <v>560</v>
      </c>
      <c r="G25" s="226">
        <f>G24*1000</f>
        <v>10000000</v>
      </c>
      <c r="H25" s="226">
        <f>H24*1000</f>
        <v>10000000</v>
      </c>
      <c r="I25" s="226">
        <f>I24*1000</f>
        <v>10000000</v>
      </c>
      <c r="K25" s="226">
        <f>K26*K29</f>
        <v>1202282625</v>
      </c>
      <c r="M25" s="239">
        <f>1000*M24</f>
        <v>84806297</v>
      </c>
    </row>
    <row r="26" spans="3:14">
      <c r="C26" t="s">
        <v>563</v>
      </c>
      <c r="D26" t="s">
        <v>456</v>
      </c>
      <c r="E26" t="s">
        <v>545</v>
      </c>
      <c r="F26" t="s">
        <v>544</v>
      </c>
      <c r="G26" s="251">
        <v>67.525000000000006</v>
      </c>
      <c r="H26" s="251">
        <v>182.5</v>
      </c>
      <c r="I26" s="251">
        <v>821.25</v>
      </c>
      <c r="K26" s="236">
        <f>G26</f>
        <v>67.525000000000006</v>
      </c>
      <c r="M26" s="109">
        <f>G26</f>
        <v>67.525000000000006</v>
      </c>
    </row>
    <row r="27" spans="3:14">
      <c r="E27" t="s">
        <v>585</v>
      </c>
      <c r="F27" t="s">
        <v>586</v>
      </c>
      <c r="G27" s="109">
        <f>G26/G34</f>
        <v>135.05000000000001</v>
      </c>
      <c r="H27" s="109">
        <f>H26/H34</f>
        <v>182.5</v>
      </c>
      <c r="I27" s="109">
        <f>I26/I34</f>
        <v>273.75</v>
      </c>
      <c r="K27" s="236">
        <f>G27</f>
        <v>135.05000000000001</v>
      </c>
      <c r="M27" s="109"/>
    </row>
    <row r="28" spans="3:14">
      <c r="E28" t="s">
        <v>623</v>
      </c>
      <c r="F28" t="s">
        <v>587</v>
      </c>
      <c r="G28" s="226">
        <f>G25/G27</f>
        <v>74046.649389115133</v>
      </c>
      <c r="H28" s="226">
        <f>H25/H27</f>
        <v>54794.520547945205</v>
      </c>
      <c r="I28" s="226">
        <f>I25/I27</f>
        <v>36529.680365296801</v>
      </c>
      <c r="K28" s="237">
        <v>2388411</v>
      </c>
      <c r="L28" s="250" t="s">
        <v>458</v>
      </c>
      <c r="M28" s="239"/>
      <c r="N28" s="135"/>
    </row>
    <row r="29" spans="3:14">
      <c r="C29" t="s">
        <v>563</v>
      </c>
      <c r="D29" t="s">
        <v>456</v>
      </c>
      <c r="E29" t="s">
        <v>546</v>
      </c>
      <c r="F29" t="s">
        <v>508</v>
      </c>
      <c r="G29" s="226">
        <f>G25/G26</f>
        <v>148093.29877823027</v>
      </c>
      <c r="H29" s="226">
        <f>H25/H26</f>
        <v>54794.520547945205</v>
      </c>
      <c r="I29" s="226">
        <f>I25/I26</f>
        <v>12176.5601217656</v>
      </c>
      <c r="K29" s="237">
        <v>17805000</v>
      </c>
      <c r="L29" s="250" t="s">
        <v>457</v>
      </c>
      <c r="M29" s="239">
        <f>M25/M26</f>
        <v>1255924.4279896333</v>
      </c>
    </row>
    <row r="30" spans="3:14" ht="18">
      <c r="C30" t="s">
        <v>563</v>
      </c>
      <c r="D30" t="s">
        <v>456</v>
      </c>
      <c r="E30" t="s">
        <v>549</v>
      </c>
      <c r="F30" t="s">
        <v>541</v>
      </c>
      <c r="G30" s="226">
        <f>G40</f>
        <v>48204.368752313952</v>
      </c>
      <c r="H30" s="226">
        <f>H40</f>
        <v>43726.027397260274</v>
      </c>
      <c r="I30" s="226">
        <f>I40</f>
        <v>26849.31506849315</v>
      </c>
      <c r="K30" s="226">
        <f>K40</f>
        <v>39260025</v>
      </c>
      <c r="M30" s="233"/>
    </row>
    <row r="31" spans="3:14" ht="18">
      <c r="C31" t="s">
        <v>563</v>
      </c>
      <c r="D31" t="s">
        <v>456</v>
      </c>
      <c r="E31" t="s">
        <v>550</v>
      </c>
      <c r="F31" t="s">
        <v>541</v>
      </c>
      <c r="G31" s="226">
        <v>0</v>
      </c>
      <c r="H31" s="226">
        <v>38356</v>
      </c>
      <c r="I31" s="226">
        <f>11896+18265</f>
        <v>30161</v>
      </c>
      <c r="K31">
        <v>0</v>
      </c>
    </row>
    <row r="32" spans="3:14" ht="18">
      <c r="C32" t="s">
        <v>563</v>
      </c>
      <c r="D32" t="s">
        <v>456</v>
      </c>
      <c r="E32" t="s">
        <v>551</v>
      </c>
      <c r="F32" t="s">
        <v>541</v>
      </c>
      <c r="G32" s="226">
        <f>G30-G31</f>
        <v>48204.368752313952</v>
      </c>
      <c r="H32" s="226">
        <f>H30-H31</f>
        <v>5370.0273972602736</v>
      </c>
      <c r="I32" s="226">
        <f>I30-I31</f>
        <v>-3311.6849315068503</v>
      </c>
      <c r="K32" s="226">
        <f>K30-K31</f>
        <v>39260025</v>
      </c>
    </row>
    <row r="33" spans="3:13" ht="18">
      <c r="E33" t="s">
        <v>556</v>
      </c>
      <c r="F33" t="s">
        <v>552</v>
      </c>
      <c r="G33" s="134">
        <f>G32/G29</f>
        <v>0.32550000000000001</v>
      </c>
      <c r="H33" s="134">
        <f>H32/H29</f>
        <v>9.8002999999999993E-2</v>
      </c>
      <c r="I33" s="134">
        <f>I32/I29</f>
        <v>-0.27197212500000012</v>
      </c>
      <c r="K33" s="134">
        <f>K32/K29</f>
        <v>2.2050000000000001</v>
      </c>
    </row>
    <row r="34" spans="3:13">
      <c r="C34" t="s">
        <v>562</v>
      </c>
      <c r="D34" t="s">
        <v>456</v>
      </c>
      <c r="E34" t="s">
        <v>554</v>
      </c>
      <c r="F34" t="s">
        <v>555</v>
      </c>
      <c r="G34">
        <v>0.5</v>
      </c>
      <c r="H34">
        <v>1</v>
      </c>
      <c r="I34">
        <v>3</v>
      </c>
      <c r="K34" s="134">
        <f>K28/K29</f>
        <v>0.13414271272114575</v>
      </c>
    </row>
    <row r="35" spans="3:13">
      <c r="E35" t="s">
        <v>598</v>
      </c>
      <c r="F35" t="s">
        <v>597</v>
      </c>
      <c r="G35" s="109">
        <f>1/G34</f>
        <v>2</v>
      </c>
      <c r="H35" s="109">
        <f>1/H34</f>
        <v>1</v>
      </c>
      <c r="I35" s="109">
        <f>1/I34</f>
        <v>0.33333333333333331</v>
      </c>
      <c r="K35" s="109">
        <f>1/K34</f>
        <v>7.4547471101079337</v>
      </c>
    </row>
    <row r="36" spans="3:13" ht="18">
      <c r="E36" s="227" t="s">
        <v>557</v>
      </c>
      <c r="F36" s="227" t="s">
        <v>558</v>
      </c>
      <c r="G36" s="235">
        <f>G33/G34</f>
        <v>0.65100000000000002</v>
      </c>
      <c r="H36" s="235">
        <f>H33/H34</f>
        <v>9.8002999999999993E-2</v>
      </c>
      <c r="I36" s="235">
        <f>I33/I34</f>
        <v>-9.065737500000004E-2</v>
      </c>
      <c r="K36" s="235">
        <f>K33/K34</f>
        <v>16.437717377787994</v>
      </c>
    </row>
    <row r="37" spans="3:13" ht="18">
      <c r="C37" t="s">
        <v>562</v>
      </c>
      <c r="D37" t="s">
        <v>456</v>
      </c>
      <c r="E37" t="s">
        <v>561</v>
      </c>
      <c r="F37" t="s">
        <v>544</v>
      </c>
      <c r="G37" s="231">
        <v>15.5</v>
      </c>
      <c r="H37" s="231">
        <v>38</v>
      </c>
      <c r="I37" s="231">
        <v>105</v>
      </c>
      <c r="K37" s="231">
        <v>105</v>
      </c>
    </row>
    <row r="38" spans="3:13" ht="18">
      <c r="E38" t="s">
        <v>564</v>
      </c>
      <c r="F38" s="228" t="s">
        <v>565</v>
      </c>
      <c r="G38">
        <v>21</v>
      </c>
      <c r="H38">
        <f>G38</f>
        <v>21</v>
      </c>
      <c r="I38">
        <f>G38</f>
        <v>21</v>
      </c>
      <c r="K38">
        <v>21</v>
      </c>
    </row>
    <row r="39" spans="3:13" ht="18">
      <c r="E39" t="s">
        <v>567</v>
      </c>
      <c r="F39" s="228" t="s">
        <v>566</v>
      </c>
      <c r="G39">
        <f>G37*G38</f>
        <v>325.5</v>
      </c>
      <c r="H39">
        <f>H37*H38</f>
        <v>798</v>
      </c>
      <c r="I39">
        <f>I37*I38</f>
        <v>2205</v>
      </c>
      <c r="K39">
        <f>K37*K38</f>
        <v>2205</v>
      </c>
    </row>
    <row r="40" spans="3:13" ht="18">
      <c r="E40" t="s">
        <v>568</v>
      </c>
      <c r="F40" s="228" t="s">
        <v>569</v>
      </c>
      <c r="G40" s="226">
        <f>G39*G29/1000</f>
        <v>48204.368752313952</v>
      </c>
      <c r="H40" s="226">
        <f>H39*H29/1000</f>
        <v>43726.027397260274</v>
      </c>
      <c r="I40" s="226">
        <f>I39*I29/1000</f>
        <v>26849.31506849315</v>
      </c>
      <c r="K40" s="226">
        <f>K39*K29/1000</f>
        <v>39260025</v>
      </c>
      <c r="M40" s="226">
        <f>K24*G59*K38/1000</f>
        <v>5795527.5</v>
      </c>
    </row>
    <row r="41" spans="3:13">
      <c r="F41" s="228"/>
      <c r="G41" s="226"/>
      <c r="H41" s="226"/>
      <c r="I41" s="226"/>
    </row>
    <row r="42" spans="3:13" s="265" customFormat="1">
      <c r="F42" s="266"/>
      <c r="G42" s="267"/>
      <c r="H42" s="267"/>
      <c r="I42" s="267"/>
    </row>
    <row r="43" spans="3:13" s="132" customFormat="1">
      <c r="F43" s="336" t="s">
        <v>689</v>
      </c>
      <c r="G43" s="336"/>
      <c r="H43" s="337" t="s">
        <v>690</v>
      </c>
      <c r="I43" s="337"/>
    </row>
    <row r="44" spans="3:13">
      <c r="F44" s="228" t="s">
        <v>679</v>
      </c>
      <c r="G44" s="226" t="s">
        <v>518</v>
      </c>
      <c r="H44" s="226" t="s">
        <v>688</v>
      </c>
      <c r="I44" s="226" t="s">
        <v>518</v>
      </c>
    </row>
    <row r="45" spans="3:13">
      <c r="D45" t="s">
        <v>616</v>
      </c>
      <c r="E45" t="s">
        <v>680</v>
      </c>
      <c r="F45" s="228">
        <v>53</v>
      </c>
      <c r="G45" s="226">
        <v>53</v>
      </c>
      <c r="H45" s="226">
        <v>53</v>
      </c>
      <c r="I45" s="226">
        <v>53</v>
      </c>
    </row>
    <row r="46" spans="3:13">
      <c r="E46" t="s">
        <v>681</v>
      </c>
      <c r="F46" s="228">
        <v>1</v>
      </c>
      <c r="G46" s="226">
        <v>1</v>
      </c>
      <c r="H46" s="226">
        <v>1</v>
      </c>
      <c r="I46" s="226">
        <v>1</v>
      </c>
    </row>
    <row r="47" spans="3:13">
      <c r="E47" t="s">
        <v>682</v>
      </c>
      <c r="F47" s="217">
        <v>4860000</v>
      </c>
      <c r="G47" s="217">
        <v>4860000</v>
      </c>
      <c r="H47" s="226">
        <v>0</v>
      </c>
      <c r="I47" s="226">
        <v>0</v>
      </c>
    </row>
    <row r="48" spans="3:13">
      <c r="E48" t="s">
        <v>683</v>
      </c>
      <c r="F48" s="268">
        <v>2432000</v>
      </c>
      <c r="G48" s="217">
        <v>2995300</v>
      </c>
      <c r="H48" s="226">
        <f>0.15*F48</f>
        <v>364800</v>
      </c>
      <c r="I48" s="226">
        <f>G48</f>
        <v>2995300</v>
      </c>
    </row>
    <row r="49" spans="5:11">
      <c r="E49" t="s">
        <v>684</v>
      </c>
      <c r="F49" s="268">
        <v>252000</v>
      </c>
      <c r="G49" s="217">
        <v>492000</v>
      </c>
      <c r="H49" s="226">
        <f>0.15*F49</f>
        <v>37800</v>
      </c>
      <c r="I49" s="226">
        <f>(G49-F49)*(1.15)</f>
        <v>276000</v>
      </c>
    </row>
    <row r="50" spans="5:11">
      <c r="E50" t="s">
        <v>685</v>
      </c>
      <c r="F50" s="268">
        <v>892684</v>
      </c>
      <c r="G50" s="217">
        <v>1495500</v>
      </c>
      <c r="H50" s="226">
        <v>0</v>
      </c>
      <c r="I50" s="226">
        <f>G50-F50</f>
        <v>602816</v>
      </c>
    </row>
    <row r="51" spans="5:11">
      <c r="E51" t="s">
        <v>686</v>
      </c>
      <c r="F51" s="268">
        <v>249900</v>
      </c>
      <c r="G51" s="217">
        <v>0</v>
      </c>
      <c r="H51" s="226">
        <f>F51</f>
        <v>249900</v>
      </c>
      <c r="I51" s="226">
        <v>0</v>
      </c>
    </row>
    <row r="52" spans="5:11">
      <c r="E52" t="s">
        <v>687</v>
      </c>
      <c r="F52" s="268">
        <v>0</v>
      </c>
      <c r="G52" s="217">
        <v>718680</v>
      </c>
      <c r="H52" s="226"/>
      <c r="I52" s="226">
        <f>G52</f>
        <v>718680</v>
      </c>
      <c r="J52">
        <f>I52/H51</f>
        <v>2.8758703481392556</v>
      </c>
    </row>
    <row r="53" spans="5:11">
      <c r="E53" t="s">
        <v>14</v>
      </c>
      <c r="F53" s="268">
        <f>SUM(F47:F52)</f>
        <v>8686584</v>
      </c>
      <c r="G53" s="268">
        <f>SUM(G47:G52)</f>
        <v>10561480</v>
      </c>
      <c r="H53" s="268">
        <f>SUM(H47:H52)</f>
        <v>652500</v>
      </c>
      <c r="I53" s="268">
        <f>SUM(I47:I52)</f>
        <v>4592796</v>
      </c>
    </row>
    <row r="54" spans="5:11">
      <c r="E54" t="s">
        <v>691</v>
      </c>
      <c r="F54" s="236">
        <v>2.1</v>
      </c>
      <c r="G54" s="236">
        <v>5.5</v>
      </c>
      <c r="H54" s="236">
        <v>2.1</v>
      </c>
      <c r="I54" s="236">
        <v>5.5</v>
      </c>
    </row>
    <row r="55" spans="5:11">
      <c r="E55" t="s">
        <v>692</v>
      </c>
      <c r="F55" s="228">
        <f>F45*F54</f>
        <v>111.30000000000001</v>
      </c>
      <c r="G55" s="228">
        <f t="shared" ref="G55:I55" si="0">G45*G54</f>
        <v>291.5</v>
      </c>
      <c r="H55" s="228">
        <f t="shared" si="0"/>
        <v>111.30000000000001</v>
      </c>
      <c r="I55" s="228">
        <f t="shared" si="0"/>
        <v>291.5</v>
      </c>
    </row>
    <row r="56" spans="5:11">
      <c r="F56" s="228"/>
      <c r="G56" s="226"/>
      <c r="H56" s="226"/>
      <c r="I56" s="226"/>
    </row>
    <row r="57" spans="5:11">
      <c r="F57" s="228"/>
      <c r="G57" s="226"/>
      <c r="H57" s="226"/>
      <c r="I57" s="226"/>
    </row>
    <row r="58" spans="5:11" ht="18">
      <c r="E58" t="s">
        <v>561</v>
      </c>
      <c r="F58" t="s">
        <v>599</v>
      </c>
      <c r="G58" s="226">
        <f>G37*G35</f>
        <v>31</v>
      </c>
      <c r="H58" s="226"/>
      <c r="I58" s="226"/>
      <c r="K58" s="1">
        <f>G58</f>
        <v>31</v>
      </c>
    </row>
    <row r="59" spans="5:11" ht="18">
      <c r="E59" t="s">
        <v>561</v>
      </c>
      <c r="F59" t="s">
        <v>606</v>
      </c>
      <c r="G59" s="236">
        <f>G58/G27*1000</f>
        <v>229.54461310625692</v>
      </c>
      <c r="H59" s="226"/>
      <c r="I59" s="226"/>
      <c r="K59" s="226">
        <f>K28*K58/1000</f>
        <v>74040.740999999995</v>
      </c>
    </row>
    <row r="60" spans="5:11">
      <c r="F60" s="228"/>
      <c r="G60" s="226"/>
      <c r="H60" s="226"/>
      <c r="I60" s="226"/>
      <c r="K60" s="226">
        <f>K38*K59</f>
        <v>1554855.561</v>
      </c>
    </row>
    <row r="61" spans="5:11">
      <c r="F61" s="228"/>
      <c r="G61" s="226"/>
      <c r="H61" s="226"/>
      <c r="I61" s="226"/>
    </row>
    <row r="62" spans="5:11">
      <c r="F62" s="228"/>
      <c r="G62" s="226"/>
      <c r="H62" s="226"/>
      <c r="I62" s="226"/>
    </row>
    <row r="63" spans="5:11">
      <c r="F63" s="228"/>
      <c r="G63" t="s">
        <v>602</v>
      </c>
      <c r="H63" t="s">
        <v>601</v>
      </c>
      <c r="I63" t="s">
        <v>603</v>
      </c>
      <c r="J63" t="s">
        <v>604</v>
      </c>
      <c r="K63" t="s">
        <v>605</v>
      </c>
    </row>
    <row r="64" spans="5:11">
      <c r="F64" s="228" t="s">
        <v>600</v>
      </c>
      <c r="G64" s="226">
        <v>284766</v>
      </c>
      <c r="H64" s="226">
        <v>117</v>
      </c>
      <c r="I64" s="226">
        <f>G64*H64/1000000</f>
        <v>33.317622</v>
      </c>
      <c r="J64" s="226">
        <v>28</v>
      </c>
      <c r="K64" s="226">
        <f>I64*J64</f>
        <v>932.893416</v>
      </c>
    </row>
    <row r="65" spans="2:11">
      <c r="F65" s="228" t="s">
        <v>9</v>
      </c>
      <c r="G65" s="226">
        <v>2103645</v>
      </c>
      <c r="H65" s="226">
        <v>57</v>
      </c>
      <c r="I65" s="226">
        <f>G65*H65/1000000</f>
        <v>119.907765</v>
      </c>
      <c r="J65" s="226">
        <v>28</v>
      </c>
      <c r="K65" s="226">
        <f>I65*J65</f>
        <v>3357.4174199999998</v>
      </c>
    </row>
    <row r="66" spans="2:11">
      <c r="F66" s="228"/>
      <c r="G66" s="226"/>
      <c r="H66" s="226"/>
      <c r="I66" s="226"/>
      <c r="J66" s="226"/>
      <c r="K66" s="226">
        <f>SUM(K64:K65)</f>
        <v>4290.3108359999997</v>
      </c>
    </row>
    <row r="67" spans="2:11">
      <c r="F67" s="228"/>
      <c r="G67" s="226"/>
      <c r="H67" s="226"/>
      <c r="I67" s="226"/>
      <c r="J67" s="226"/>
      <c r="K67" s="226"/>
    </row>
    <row r="68" spans="2:11">
      <c r="F68" s="228"/>
      <c r="G68" t="s">
        <v>602</v>
      </c>
      <c r="H68" s="226" t="s">
        <v>607</v>
      </c>
      <c r="I68" s="226"/>
      <c r="J68" s="226"/>
      <c r="K68" s="226"/>
    </row>
    <row r="69" spans="2:11">
      <c r="F69" s="228" t="s">
        <v>600</v>
      </c>
      <c r="G69" s="226">
        <v>284766</v>
      </c>
      <c r="H69" t="s">
        <v>608</v>
      </c>
      <c r="I69" s="226" t="s">
        <v>609</v>
      </c>
      <c r="J69" s="226"/>
      <c r="K69" s="226"/>
    </row>
    <row r="70" spans="2:11">
      <c r="F70" s="228" t="s">
        <v>9</v>
      </c>
      <c r="G70" s="226">
        <v>2103645</v>
      </c>
      <c r="H70" s="241">
        <v>1.8816958999999999E-3</v>
      </c>
      <c r="I70" s="241">
        <v>1.6658960500000001E-3</v>
      </c>
      <c r="J70" s="226"/>
      <c r="K70" s="226"/>
    </row>
    <row r="71" spans="2:11">
      <c r="F71" s="228" t="s">
        <v>14</v>
      </c>
      <c r="G71" s="226">
        <f>G69+G70</f>
        <v>2388411</v>
      </c>
      <c r="H71" s="226">
        <f>H70*G71</f>
        <v>4494.2631862149001</v>
      </c>
      <c r="I71" s="226">
        <f>I70*G71</f>
        <v>3978.84445067655</v>
      </c>
      <c r="J71" s="226">
        <f>H71+I71</f>
        <v>8473.107636891451</v>
      </c>
      <c r="K71" s="226"/>
    </row>
    <row r="72" spans="2:11">
      <c r="F72" s="228"/>
      <c r="G72" s="226"/>
      <c r="H72" s="226"/>
      <c r="I72" s="226"/>
      <c r="J72" s="226"/>
      <c r="K72" s="226"/>
    </row>
    <row r="73" spans="2:11">
      <c r="F73" s="228"/>
      <c r="G73" s="226"/>
      <c r="H73" s="226">
        <v>4605</v>
      </c>
      <c r="I73" s="226">
        <v>3960</v>
      </c>
      <c r="J73" s="226">
        <f>H73+I73</f>
        <v>8565</v>
      </c>
      <c r="K73" s="226"/>
    </row>
    <row r="74" spans="2:11">
      <c r="F74" s="228"/>
      <c r="G74" s="226"/>
      <c r="H74" s="226"/>
      <c r="I74" s="226"/>
      <c r="J74" s="226"/>
      <c r="K74" s="226"/>
    </row>
    <row r="75" spans="2:11">
      <c r="F75" s="228"/>
      <c r="G75" s="226"/>
      <c r="H75" s="226"/>
      <c r="I75" s="226"/>
      <c r="J75" s="226"/>
      <c r="K75" s="226"/>
    </row>
    <row r="76" spans="2:11">
      <c r="F76" s="228"/>
      <c r="G76" s="226"/>
      <c r="H76" s="226"/>
      <c r="I76" s="226"/>
      <c r="J76" s="226"/>
      <c r="K76" s="226"/>
    </row>
    <row r="77" spans="2:11">
      <c r="F77" s="228"/>
      <c r="G77" s="226"/>
      <c r="H77" s="226"/>
      <c r="I77" s="226"/>
      <c r="J77" s="226"/>
      <c r="K77" s="226"/>
    </row>
    <row r="78" spans="2:11">
      <c r="F78" s="228"/>
      <c r="G78" s="226"/>
      <c r="H78" s="226"/>
      <c r="I78" s="226"/>
      <c r="J78" s="226"/>
      <c r="K78" s="226"/>
    </row>
    <row r="80" spans="2:11">
      <c r="B80" t="s">
        <v>455</v>
      </c>
      <c r="C80" t="s">
        <v>540</v>
      </c>
    </row>
    <row r="81" spans="2:14">
      <c r="E81" t="s">
        <v>543</v>
      </c>
    </row>
    <row r="82" spans="2:14">
      <c r="B82" t="s">
        <v>456</v>
      </c>
      <c r="C82" t="s">
        <v>553</v>
      </c>
    </row>
    <row r="83" spans="2:14">
      <c r="B83" t="s">
        <v>457</v>
      </c>
      <c r="C83" t="s">
        <v>632</v>
      </c>
    </row>
    <row r="84" spans="2:14">
      <c r="B84" t="s">
        <v>458</v>
      </c>
      <c r="C84" t="s">
        <v>633</v>
      </c>
      <c r="E84" t="s">
        <v>590</v>
      </c>
    </row>
    <row r="86" spans="2:14">
      <c r="B86" t="s">
        <v>616</v>
      </c>
      <c r="C86" t="s">
        <v>678</v>
      </c>
      <c r="E86" t="s">
        <v>677</v>
      </c>
    </row>
    <row r="91" spans="2:14">
      <c r="M91">
        <v>0.8</v>
      </c>
    </row>
    <row r="92" spans="2:14">
      <c r="H92" t="s">
        <v>570</v>
      </c>
      <c r="I92" t="s">
        <v>571</v>
      </c>
      <c r="J92" t="s">
        <v>572</v>
      </c>
      <c r="K92" t="s">
        <v>573</v>
      </c>
      <c r="L92" t="s">
        <v>574</v>
      </c>
      <c r="M92" t="s">
        <v>582</v>
      </c>
      <c r="N92" t="s">
        <v>583</v>
      </c>
    </row>
    <row r="93" spans="2:14">
      <c r="G93" t="s">
        <v>575</v>
      </c>
      <c r="H93">
        <v>8</v>
      </c>
      <c r="I93">
        <v>8</v>
      </c>
      <c r="J93">
        <v>8</v>
      </c>
      <c r="K93">
        <v>8</v>
      </c>
      <c r="L93">
        <v>10</v>
      </c>
      <c r="M93">
        <f>$M$91*L93</f>
        <v>8</v>
      </c>
      <c r="N93">
        <v>4</v>
      </c>
    </row>
    <row r="94" spans="2:14">
      <c r="G94" t="s">
        <v>576</v>
      </c>
      <c r="H94">
        <v>13</v>
      </c>
      <c r="I94">
        <v>13</v>
      </c>
      <c r="J94">
        <v>13</v>
      </c>
      <c r="K94">
        <v>26</v>
      </c>
      <c r="L94">
        <v>30</v>
      </c>
      <c r="M94">
        <f>$M$91*L94</f>
        <v>24</v>
      </c>
      <c r="N94">
        <v>6.5</v>
      </c>
    </row>
    <row r="95" spans="2:14">
      <c r="G95" t="s">
        <v>577</v>
      </c>
      <c r="H95">
        <f t="shared" ref="H95:N95" si="1">H94-H93</f>
        <v>5</v>
      </c>
      <c r="I95">
        <f t="shared" si="1"/>
        <v>5</v>
      </c>
      <c r="J95">
        <f t="shared" si="1"/>
        <v>5</v>
      </c>
      <c r="K95" s="227">
        <f t="shared" si="1"/>
        <v>18</v>
      </c>
      <c r="L95">
        <f t="shared" si="1"/>
        <v>20</v>
      </c>
      <c r="M95">
        <f t="shared" si="1"/>
        <v>16</v>
      </c>
      <c r="N95">
        <f t="shared" si="1"/>
        <v>2.5</v>
      </c>
    </row>
    <row r="96" spans="2:14">
      <c r="G96" s="229" t="s">
        <v>578</v>
      </c>
      <c r="H96">
        <v>0</v>
      </c>
      <c r="I96">
        <v>-5</v>
      </c>
      <c r="J96">
        <v>-10</v>
      </c>
      <c r="K96">
        <v>-10</v>
      </c>
      <c r="L96">
        <v>-10</v>
      </c>
      <c r="M96">
        <f>$M$91*L96</f>
        <v>-8</v>
      </c>
      <c r="N96">
        <v>-10</v>
      </c>
    </row>
    <row r="97" spans="7:15">
      <c r="G97" s="230" t="s">
        <v>579</v>
      </c>
      <c r="H97" s="231">
        <f t="shared" ref="H97:N97" si="2">-H96/H93</f>
        <v>0</v>
      </c>
      <c r="I97" s="231">
        <f t="shared" si="2"/>
        <v>0.625</v>
      </c>
      <c r="J97" s="231">
        <f t="shared" si="2"/>
        <v>1.25</v>
      </c>
      <c r="K97" s="231">
        <f t="shared" si="2"/>
        <v>1.25</v>
      </c>
      <c r="L97" s="231">
        <f t="shared" si="2"/>
        <v>1</v>
      </c>
      <c r="M97" s="231">
        <f t="shared" si="2"/>
        <v>1</v>
      </c>
      <c r="N97" s="231">
        <f t="shared" si="2"/>
        <v>2.5</v>
      </c>
    </row>
    <row r="98" spans="7:15">
      <c r="G98" t="s">
        <v>580</v>
      </c>
      <c r="H98">
        <f t="shared" ref="H98:N98" si="3">H93/H94</f>
        <v>0.61538461538461542</v>
      </c>
      <c r="I98">
        <f t="shared" si="3"/>
        <v>0.61538461538461542</v>
      </c>
      <c r="J98">
        <f t="shared" si="3"/>
        <v>0.61538461538461542</v>
      </c>
      <c r="K98">
        <f t="shared" si="3"/>
        <v>0.30769230769230771</v>
      </c>
      <c r="L98">
        <f t="shared" si="3"/>
        <v>0.33333333333333331</v>
      </c>
      <c r="M98">
        <f t="shared" si="3"/>
        <v>0.33333333333333331</v>
      </c>
      <c r="N98">
        <f t="shared" si="3"/>
        <v>0.61538461538461542</v>
      </c>
    </row>
    <row r="99" spans="7:15">
      <c r="G99" s="229" t="s">
        <v>581</v>
      </c>
      <c r="H99">
        <f t="shared" ref="H99:N99" si="4">-H96/H98</f>
        <v>0</v>
      </c>
      <c r="I99">
        <f t="shared" si="4"/>
        <v>8.125</v>
      </c>
      <c r="J99">
        <f t="shared" si="4"/>
        <v>16.25</v>
      </c>
      <c r="K99">
        <f t="shared" si="4"/>
        <v>32.5</v>
      </c>
      <c r="L99">
        <f t="shared" si="4"/>
        <v>30</v>
      </c>
      <c r="M99">
        <f t="shared" si="4"/>
        <v>24</v>
      </c>
      <c r="N99">
        <f t="shared" si="4"/>
        <v>16.25</v>
      </c>
    </row>
    <row r="108" spans="7:15">
      <c r="I108" t="s">
        <v>593</v>
      </c>
      <c r="K108" t="s">
        <v>594</v>
      </c>
      <c r="M108" t="s">
        <v>595</v>
      </c>
      <c r="O108" t="s">
        <v>596</v>
      </c>
    </row>
    <row r="109" spans="7:15">
      <c r="G109" t="s">
        <v>591</v>
      </c>
      <c r="H109" t="s">
        <v>592</v>
      </c>
      <c r="I109">
        <v>2.8</v>
      </c>
      <c r="K109">
        <v>4.3</v>
      </c>
      <c r="M109">
        <v>10</v>
      </c>
      <c r="O109">
        <v>20</v>
      </c>
    </row>
  </sheetData>
  <mergeCells count="2">
    <mergeCell ref="F43:G43"/>
    <mergeCell ref="H43:I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A173-77B5-4395-A091-18F59D269967}">
  <dimension ref="B6:I30"/>
  <sheetViews>
    <sheetView topLeftCell="A7" zoomScale="130" zoomScaleNormal="130" workbookViewId="0">
      <selection activeCell="C14" sqref="C14"/>
    </sheetView>
  </sheetViews>
  <sheetFormatPr defaultRowHeight="15"/>
  <cols>
    <col min="2" max="2" width="29.7109375" bestFit="1" customWidth="1"/>
    <col min="3" max="3" width="34" bestFit="1" customWidth="1"/>
    <col min="4" max="4" width="15.140625" bestFit="1" customWidth="1"/>
    <col min="5" max="5" width="19.42578125" bestFit="1" customWidth="1"/>
    <col min="6" max="6" width="11.140625" customWidth="1"/>
  </cols>
  <sheetData>
    <row r="6" spans="2:9">
      <c r="B6" s="254" t="s">
        <v>665</v>
      </c>
      <c r="C6" s="254" t="s">
        <v>674</v>
      </c>
      <c r="D6" s="254"/>
      <c r="E6" s="254"/>
      <c r="F6" s="254"/>
      <c r="G6" s="254"/>
      <c r="H6" s="254"/>
      <c r="I6" s="254"/>
    </row>
    <row r="7" spans="2:9">
      <c r="B7" s="255" t="s">
        <v>650</v>
      </c>
      <c r="C7" s="255" t="s">
        <v>675</v>
      </c>
      <c r="D7" s="264">
        <v>44105</v>
      </c>
      <c r="E7" s="254"/>
      <c r="F7" s="254"/>
      <c r="G7" s="254"/>
      <c r="H7" s="254"/>
      <c r="I7" s="254"/>
    </row>
    <row r="8" spans="2:9">
      <c r="B8" s="255"/>
      <c r="C8" s="255" t="s">
        <v>636</v>
      </c>
      <c r="D8" s="254">
        <v>10</v>
      </c>
      <c r="E8" s="254" t="s">
        <v>634</v>
      </c>
      <c r="F8" s="264">
        <f>D7+D8*365</f>
        <v>47755</v>
      </c>
      <c r="G8" s="254"/>
      <c r="H8" s="254"/>
      <c r="I8" s="254"/>
    </row>
    <row r="9" spans="2:9">
      <c r="B9" s="255"/>
      <c r="C9" s="255" t="s">
        <v>637</v>
      </c>
      <c r="D9" s="254">
        <v>6</v>
      </c>
      <c r="E9" s="254" t="s">
        <v>635</v>
      </c>
      <c r="F9" s="264">
        <f>D7+30*D9</f>
        <v>44285</v>
      </c>
      <c r="G9" s="254"/>
      <c r="H9" s="254"/>
      <c r="I9" s="254"/>
    </row>
    <row r="10" spans="2:9">
      <c r="B10" s="255" t="s">
        <v>664</v>
      </c>
      <c r="C10" s="255"/>
      <c r="D10" s="254"/>
      <c r="E10" s="254"/>
      <c r="F10" s="254"/>
      <c r="G10" s="254"/>
      <c r="H10" s="254"/>
      <c r="I10" s="254"/>
    </row>
    <row r="11" spans="2:9">
      <c r="B11" s="254" t="s">
        <v>651</v>
      </c>
      <c r="C11" s="254" t="s">
        <v>676</v>
      </c>
      <c r="D11" s="259">
        <v>0.43120000000000003</v>
      </c>
      <c r="E11" s="254" t="s">
        <v>649</v>
      </c>
      <c r="F11" s="254"/>
      <c r="G11" s="254"/>
      <c r="H11" s="254"/>
      <c r="I11" s="254"/>
    </row>
    <row r="12" spans="2:9">
      <c r="B12" s="254" t="s">
        <v>652</v>
      </c>
      <c r="C12" s="254" t="s">
        <v>585</v>
      </c>
      <c r="D12" s="257">
        <f>688003/431.2</f>
        <v>1595.5542671614101</v>
      </c>
      <c r="E12" s="254" t="s">
        <v>693</v>
      </c>
      <c r="F12" s="254"/>
      <c r="G12" s="254"/>
      <c r="H12" s="254"/>
      <c r="I12" s="254"/>
    </row>
    <row r="13" spans="2:9">
      <c r="B13" s="254" t="s">
        <v>653</v>
      </c>
      <c r="C13" s="254" t="s">
        <v>694</v>
      </c>
      <c r="D13" s="256">
        <v>1</v>
      </c>
      <c r="E13" s="254"/>
      <c r="F13" s="254"/>
      <c r="G13" s="254"/>
      <c r="H13" s="254"/>
      <c r="I13" s="254"/>
    </row>
    <row r="14" spans="2:9">
      <c r="B14" s="254" t="s">
        <v>663</v>
      </c>
      <c r="C14" s="254"/>
      <c r="D14" s="254"/>
      <c r="E14" s="254"/>
      <c r="F14" s="254"/>
      <c r="G14" s="254"/>
      <c r="H14" s="254"/>
      <c r="I14" s="254"/>
    </row>
    <row r="15" spans="2:9">
      <c r="B15" s="255" t="s">
        <v>662</v>
      </c>
      <c r="C15" s="254" t="s">
        <v>648</v>
      </c>
      <c r="D15" s="260">
        <f>2092731.95/688003</f>
        <v>3.0417482917952392</v>
      </c>
      <c r="E15" s="254" t="s">
        <v>638</v>
      </c>
      <c r="F15" s="261"/>
      <c r="G15" s="254"/>
      <c r="H15" s="254"/>
      <c r="I15" s="254"/>
    </row>
    <row r="16" spans="2:9">
      <c r="B16" s="254" t="s">
        <v>654</v>
      </c>
      <c r="C16" s="257" t="s">
        <v>641</v>
      </c>
      <c r="D16" s="261">
        <f>437500*21.0728</f>
        <v>9219350</v>
      </c>
      <c r="E16" s="254" t="s">
        <v>639</v>
      </c>
      <c r="F16" s="254" t="s">
        <v>672</v>
      </c>
      <c r="G16" s="254"/>
      <c r="H16" s="254"/>
      <c r="I16" s="254"/>
    </row>
    <row r="17" spans="2:9">
      <c r="B17" s="254"/>
      <c r="C17" s="254" t="s">
        <v>640</v>
      </c>
      <c r="D17" s="261">
        <f>437500*21.0728*(0.05)</f>
        <v>460967.5</v>
      </c>
      <c r="E17" s="254" t="s">
        <v>639</v>
      </c>
      <c r="F17" s="254"/>
      <c r="G17" s="254"/>
      <c r="H17" s="254"/>
      <c r="I17" s="254"/>
    </row>
    <row r="18" spans="2:9">
      <c r="B18" s="254" t="s">
        <v>655</v>
      </c>
      <c r="C18" s="254"/>
      <c r="D18" s="261">
        <v>25000</v>
      </c>
      <c r="E18" s="254" t="s">
        <v>642</v>
      </c>
      <c r="F18" s="254"/>
      <c r="G18" s="254"/>
      <c r="H18" s="254"/>
      <c r="I18" s="254"/>
    </row>
    <row r="19" spans="2:9">
      <c r="B19" s="254" t="s">
        <v>656</v>
      </c>
      <c r="C19" s="254" t="s">
        <v>666</v>
      </c>
      <c r="D19" s="254"/>
      <c r="E19" s="254"/>
      <c r="F19" s="254"/>
      <c r="G19" s="254"/>
      <c r="H19" s="254"/>
      <c r="I19" s="254"/>
    </row>
    <row r="20" spans="2:9">
      <c r="B20" s="254" t="s">
        <v>657</v>
      </c>
      <c r="C20" s="254" t="s">
        <v>667</v>
      </c>
      <c r="D20" s="262">
        <v>3.5000000000000003E-2</v>
      </c>
      <c r="E20" s="254" t="s">
        <v>643</v>
      </c>
      <c r="F20" s="254"/>
      <c r="G20" s="254"/>
      <c r="H20" s="254"/>
      <c r="I20" s="254"/>
    </row>
    <row r="21" spans="2:9">
      <c r="B21" s="254"/>
      <c r="C21" s="254" t="s">
        <v>668</v>
      </c>
      <c r="D21" s="262">
        <v>3.5000000000000003E-2</v>
      </c>
      <c r="E21" s="254" t="s">
        <v>643</v>
      </c>
      <c r="F21" s="254"/>
      <c r="G21" s="254"/>
      <c r="H21" s="254"/>
      <c r="I21" s="254"/>
    </row>
    <row r="22" spans="2:9">
      <c r="B22" s="254" t="s">
        <v>660</v>
      </c>
      <c r="C22" s="254"/>
      <c r="D22" s="254"/>
      <c r="E22" s="254"/>
      <c r="F22" s="254"/>
      <c r="G22" s="254"/>
      <c r="H22" s="254"/>
      <c r="I22" s="254"/>
    </row>
    <row r="23" spans="2:9">
      <c r="B23" s="254" t="s">
        <v>658</v>
      </c>
      <c r="C23" s="254" t="s">
        <v>669</v>
      </c>
      <c r="D23" s="256">
        <v>0.3</v>
      </c>
      <c r="E23" s="254" t="s">
        <v>673</v>
      </c>
      <c r="F23" s="254"/>
      <c r="G23" s="254"/>
      <c r="H23" s="254"/>
      <c r="I23" s="254"/>
    </row>
    <row r="24" spans="2:9">
      <c r="B24" s="255" t="s">
        <v>661</v>
      </c>
      <c r="C24" s="254"/>
      <c r="D24" s="258">
        <v>0.7</v>
      </c>
      <c r="E24" s="254"/>
      <c r="F24" s="254"/>
      <c r="G24" s="254"/>
      <c r="H24" s="254"/>
      <c r="I24" s="254"/>
    </row>
    <row r="25" spans="2:9">
      <c r="B25" s="255"/>
      <c r="C25" s="254" t="s">
        <v>645</v>
      </c>
      <c r="D25" s="263">
        <v>0.18</v>
      </c>
      <c r="E25" s="254"/>
      <c r="F25" s="254"/>
      <c r="G25" s="254"/>
      <c r="H25" s="254"/>
      <c r="I25" s="254"/>
    </row>
    <row r="26" spans="2:9">
      <c r="B26" s="255"/>
      <c r="C26" s="254" t="s">
        <v>646</v>
      </c>
      <c r="D26" s="262">
        <v>0.18</v>
      </c>
      <c r="E26" s="254"/>
      <c r="F26" s="254"/>
      <c r="G26" s="254"/>
      <c r="H26" s="254"/>
      <c r="I26" s="254"/>
    </row>
    <row r="27" spans="2:9">
      <c r="B27" s="255"/>
      <c r="C27" s="254" t="s">
        <v>647</v>
      </c>
      <c r="D27" s="254">
        <v>1</v>
      </c>
      <c r="E27" s="254"/>
      <c r="F27" s="254"/>
      <c r="G27" s="254"/>
      <c r="H27" s="254"/>
      <c r="I27" s="254"/>
    </row>
    <row r="28" spans="2:9">
      <c r="B28" s="254" t="s">
        <v>659</v>
      </c>
      <c r="C28" s="254" t="s">
        <v>670</v>
      </c>
      <c r="D28" s="256">
        <f>1-D24</f>
        <v>0.30000000000000004</v>
      </c>
      <c r="E28" s="254"/>
      <c r="F28" s="254"/>
      <c r="G28" s="254"/>
      <c r="H28" s="254"/>
      <c r="I28" s="254"/>
    </row>
    <row r="29" spans="2:9">
      <c r="B29" s="254"/>
      <c r="C29" s="254" t="s">
        <v>644</v>
      </c>
      <c r="D29" s="256">
        <v>0.12</v>
      </c>
      <c r="E29" s="254"/>
      <c r="F29" s="254"/>
      <c r="G29" s="254"/>
      <c r="H29" s="254"/>
      <c r="I29" s="254"/>
    </row>
    <row r="30" spans="2:9">
      <c r="B30" s="254"/>
      <c r="C30" s="254" t="s">
        <v>671</v>
      </c>
      <c r="D30" s="256">
        <v>1</v>
      </c>
      <c r="E30" s="254"/>
      <c r="F30" s="254"/>
      <c r="G30" s="254"/>
      <c r="H30" s="254"/>
      <c r="I30" s="25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DA</vt:lpstr>
      <vt:lpstr>Analisis y proyección</vt:lpstr>
      <vt:lpstr>FE</vt:lpstr>
      <vt:lpstr>2</vt:lpstr>
      <vt:lpstr>Totales</vt:lpstr>
      <vt:lpstr>N</vt:lpstr>
      <vt:lpstr>Costos</vt:lpstr>
      <vt:lpstr>Sheet2</vt:lpstr>
      <vt:lpstr>Modelo Finan - Inputs</vt:lpstr>
      <vt:lpstr>Sheet2 (2)</vt:lpstr>
      <vt:lpstr>Sheet4</vt:lpstr>
      <vt:lpstr>Bases de proyeccion 3A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Angel Garcia Garcia</dc:creator>
  <cp:lastModifiedBy>MS</cp:lastModifiedBy>
  <dcterms:created xsi:type="dcterms:W3CDTF">2018-12-14T17:46:03Z</dcterms:created>
  <dcterms:modified xsi:type="dcterms:W3CDTF">2020-10-24T17:49:55Z</dcterms:modified>
</cp:coreProperties>
</file>