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a\Desktop\Excel Files\"/>
    </mc:Choice>
  </mc:AlternateContent>
  <xr:revisionPtr revIDLastSave="0" documentId="13_ncr:1_{76D2BD61-95BD-42CE-9BB8-57A8D8DB1D3E}" xr6:coauthVersionLast="36" xr6:coauthVersionMax="36" xr10:uidLastSave="{00000000-0000-0000-0000-000000000000}"/>
  <bookViews>
    <workbookView xWindow="0" yWindow="0" windowWidth="16392" windowHeight="5508" tabRatio="430" firstSheet="2" activeTab="5" xr2:uid="{5E03F716-A009-4073-91C6-4528C9A8390A}"/>
  </bookViews>
  <sheets>
    <sheet name="Sheet1" sheetId="1" r:id="rId1"/>
    <sheet name="Sheet1 (2)" sheetId="4" r:id="rId2"/>
    <sheet name="Sheet1 (3)" sheetId="5" r:id="rId3"/>
    <sheet name="Sheet1 (4)" sheetId="6" r:id="rId4"/>
    <sheet name="Sheet1 (1)" sheetId="7" r:id="rId5"/>
    <sheet name="Metas eficiencia energetica" sheetId="8" r:id="rId6"/>
  </sheets>
  <definedNames>
    <definedName name="_xlnm._FilterDatabase" localSheetId="0" hidden="1">Sheet1!$A$3:$G$34</definedName>
    <definedName name="_xlnm._FilterDatabase" localSheetId="4" hidden="1">'Sheet1 (1)'!$A$3:$G$53</definedName>
    <definedName name="_xlnm._FilterDatabase" localSheetId="1" hidden="1">'Sheet1 (2)'!$A$4:$F$34</definedName>
    <definedName name="_xlnm._FilterDatabase" localSheetId="2" hidden="1">'Sheet1 (3)'!$A$4:$F$10</definedName>
    <definedName name="_xlnm._FilterDatabase" localSheetId="3" hidden="1">'Sheet1 (4)'!$A$4:$F$34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56" i="8" l="1"/>
  <c r="B57" i="8"/>
  <c r="B58" i="8"/>
  <c r="B59" i="8"/>
  <c r="B60" i="8"/>
  <c r="B61" i="8"/>
  <c r="B62" i="8"/>
  <c r="B63" i="8"/>
  <c r="B64" i="8"/>
  <c r="B65" i="8"/>
  <c r="B66" i="8"/>
  <c r="B67" i="8"/>
  <c r="B55" i="8"/>
  <c r="D55" i="8" a="1"/>
  <c r="D55" i="8" s="1"/>
  <c r="G29" i="8"/>
  <c r="H29" i="8"/>
  <c r="I29" i="8"/>
  <c r="J29" i="8"/>
  <c r="K29" i="8"/>
  <c r="L29" i="8"/>
  <c r="F29" i="8"/>
  <c r="N28" i="8"/>
  <c r="O28" i="8"/>
  <c r="P28" i="8"/>
  <c r="Q28" i="8"/>
  <c r="R28" i="8"/>
  <c r="S28" i="8"/>
  <c r="T28" i="8"/>
  <c r="U28" i="8"/>
  <c r="V28" i="8"/>
  <c r="W28" i="8"/>
  <c r="X28" i="8"/>
  <c r="Y28" i="8"/>
  <c r="M28" i="8"/>
  <c r="N27" i="8"/>
  <c r="O27" i="8"/>
  <c r="P27" i="8"/>
  <c r="Q27" i="8"/>
  <c r="R27" i="8"/>
  <c r="S27" i="8"/>
  <c r="T27" i="8"/>
  <c r="U27" i="8"/>
  <c r="V27" i="8"/>
  <c r="W27" i="8"/>
  <c r="X27" i="8"/>
  <c r="Y27" i="8"/>
  <c r="M27" i="8"/>
  <c r="N26" i="8"/>
  <c r="O26" i="8"/>
  <c r="P26" i="8"/>
  <c r="Q26" i="8"/>
  <c r="R26" i="8"/>
  <c r="S26" i="8"/>
  <c r="T26" i="8"/>
  <c r="U26" i="8"/>
  <c r="V26" i="8"/>
  <c r="W26" i="8"/>
  <c r="X26" i="8"/>
  <c r="Y26" i="8"/>
  <c r="C34" i="8"/>
  <c r="C33" i="8"/>
  <c r="M26" i="8" s="1"/>
  <c r="Q47" i="7"/>
  <c r="Q48" i="7"/>
  <c r="Q49" i="7"/>
  <c r="Q50" i="7"/>
  <c r="Q51" i="7"/>
  <c r="Q52" i="7"/>
  <c r="Q46" i="7"/>
  <c r="Q43" i="7"/>
  <c r="Q42" i="7"/>
  <c r="M24" i="8"/>
  <c r="B17" i="8"/>
  <c r="W24" i="8" s="1"/>
  <c r="W25" i="8" s="1"/>
  <c r="D65" i="8" l="1"/>
  <c r="D64" i="8"/>
  <c r="D62" i="8"/>
  <c r="D61" i="8"/>
  <c r="D60" i="8"/>
  <c r="D66" i="8"/>
  <c r="D63" i="8"/>
  <c r="D67" i="8"/>
  <c r="D59" i="8"/>
  <c r="D58" i="8"/>
  <c r="D57" i="8"/>
  <c r="D56" i="8"/>
  <c r="W29" i="8"/>
  <c r="O24" i="8"/>
  <c r="O25" i="8" s="1"/>
  <c r="V24" i="8"/>
  <c r="V25" i="8" s="1"/>
  <c r="N24" i="8"/>
  <c r="N25" i="8" s="1"/>
  <c r="U24" i="8"/>
  <c r="U25" i="8" s="1"/>
  <c r="M25" i="8"/>
  <c r="T24" i="8"/>
  <c r="T25" i="8" s="1"/>
  <c r="L24" i="8"/>
  <c r="L25" i="8" s="1"/>
  <c r="S24" i="8"/>
  <c r="S25" i="8" s="1"/>
  <c r="K24" i="8"/>
  <c r="K25" i="8" s="1"/>
  <c r="Y24" i="8"/>
  <c r="Y25" i="8" s="1"/>
  <c r="G24" i="8"/>
  <c r="G25" i="8" s="1"/>
  <c r="F24" i="8"/>
  <c r="F25" i="8" s="1"/>
  <c r="R24" i="8"/>
  <c r="R25" i="8" s="1"/>
  <c r="J24" i="8"/>
  <c r="J25" i="8" s="1"/>
  <c r="Q24" i="8"/>
  <c r="Q25" i="8" s="1"/>
  <c r="I24" i="8"/>
  <c r="I25" i="8" s="1"/>
  <c r="X24" i="8"/>
  <c r="X25" i="8" s="1"/>
  <c r="P24" i="8"/>
  <c r="P25" i="8" s="1"/>
  <c r="H24" i="8"/>
  <c r="H25" i="8" s="1"/>
  <c r="N46" i="7"/>
  <c r="N47" i="7"/>
  <c r="N48" i="7"/>
  <c r="N49" i="7"/>
  <c r="N50" i="7"/>
  <c r="N51" i="7"/>
  <c r="N52" i="7"/>
  <c r="N45" i="7"/>
  <c r="M52" i="7"/>
  <c r="O52" i="7" s="1"/>
  <c r="P52" i="7" s="1"/>
  <c r="M51" i="7"/>
  <c r="M50" i="7"/>
  <c r="O50" i="7" s="1"/>
  <c r="P50" i="7" s="1"/>
  <c r="M49" i="7"/>
  <c r="O49" i="7" s="1"/>
  <c r="P49" i="7" s="1"/>
  <c r="M48" i="7"/>
  <c r="M47" i="7"/>
  <c r="M46" i="7"/>
  <c r="O46" i="7" s="1"/>
  <c r="P46" i="7" s="1"/>
  <c r="M45" i="7"/>
  <c r="N32" i="7"/>
  <c r="N31" i="7"/>
  <c r="O31" i="7" s="1"/>
  <c r="P31" i="7" s="1"/>
  <c r="N30" i="7"/>
  <c r="N29" i="7"/>
  <c r="O29" i="7" s="1"/>
  <c r="P29" i="7" s="1"/>
  <c r="N28" i="7"/>
  <c r="N27" i="7"/>
  <c r="N26" i="7"/>
  <c r="N25" i="7"/>
  <c r="M32" i="7"/>
  <c r="M31" i="7"/>
  <c r="M30" i="7"/>
  <c r="M29" i="7"/>
  <c r="M28" i="7"/>
  <c r="M27" i="7"/>
  <c r="M26" i="7"/>
  <c r="M25" i="7"/>
  <c r="O6" i="7"/>
  <c r="P6" i="7" s="1"/>
  <c r="O7" i="7"/>
  <c r="P7" i="7"/>
  <c r="O8" i="7"/>
  <c r="P8" i="7" s="1"/>
  <c r="O9" i="7"/>
  <c r="P9" i="7"/>
  <c r="O10" i="7"/>
  <c r="P10" i="7"/>
  <c r="O11" i="7"/>
  <c r="P11" i="7"/>
  <c r="O12" i="7"/>
  <c r="P12" i="7" s="1"/>
  <c r="P5" i="7"/>
  <c r="O5" i="7"/>
  <c r="H22" i="7"/>
  <c r="H34" i="7"/>
  <c r="H35" i="7"/>
  <c r="H38" i="7"/>
  <c r="H42" i="7"/>
  <c r="H46" i="7"/>
  <c r="H51" i="7"/>
  <c r="H5" i="7"/>
  <c r="G47" i="6"/>
  <c r="G46" i="6"/>
  <c r="G45" i="6"/>
  <c r="F45" i="6"/>
  <c r="F44" i="6"/>
  <c r="F43" i="6"/>
  <c r="E43" i="6"/>
  <c r="G46" i="7"/>
  <c r="D46" i="7"/>
  <c r="G45" i="7"/>
  <c r="H45" i="7" s="1"/>
  <c r="D45" i="7"/>
  <c r="G44" i="7"/>
  <c r="H44" i="7" s="1"/>
  <c r="D44" i="7"/>
  <c r="G42" i="7"/>
  <c r="D42" i="7"/>
  <c r="G41" i="7"/>
  <c r="H41" i="7" s="1"/>
  <c r="D41" i="7"/>
  <c r="G34" i="7"/>
  <c r="D34" i="7"/>
  <c r="G33" i="7"/>
  <c r="H33" i="7" s="1"/>
  <c r="D33" i="7"/>
  <c r="G32" i="7"/>
  <c r="H32" i="7" s="1"/>
  <c r="D32" i="7"/>
  <c r="G30" i="7"/>
  <c r="H30" i="7" s="1"/>
  <c r="D30" i="7"/>
  <c r="G29" i="7"/>
  <c r="H29" i="7" s="1"/>
  <c r="D29" i="7"/>
  <c r="G52" i="7"/>
  <c r="H52" i="7" s="1"/>
  <c r="D52" i="7"/>
  <c r="G51" i="7"/>
  <c r="D51" i="7"/>
  <c r="G50" i="7"/>
  <c r="H50" i="7" s="1"/>
  <c r="D50" i="7"/>
  <c r="G48" i="7"/>
  <c r="H48" i="7" s="1"/>
  <c r="D48" i="7"/>
  <c r="G47" i="7"/>
  <c r="H47" i="7" s="1"/>
  <c r="D47" i="7"/>
  <c r="G40" i="7"/>
  <c r="H40" i="7" s="1"/>
  <c r="D40" i="7"/>
  <c r="G39" i="7"/>
  <c r="H39" i="7" s="1"/>
  <c r="D39" i="7"/>
  <c r="G38" i="7"/>
  <c r="D38" i="7"/>
  <c r="G36" i="7"/>
  <c r="H36" i="7" s="1"/>
  <c r="D36" i="7"/>
  <c r="G35" i="7"/>
  <c r="D35" i="7"/>
  <c r="G28" i="7"/>
  <c r="H28" i="7" s="1"/>
  <c r="D28" i="7"/>
  <c r="G27" i="7"/>
  <c r="H27" i="7" s="1"/>
  <c r="D27" i="7"/>
  <c r="G26" i="7"/>
  <c r="H26" i="7" s="1"/>
  <c r="D26" i="7"/>
  <c r="G24" i="7"/>
  <c r="H24" i="7" s="1"/>
  <c r="D24" i="7"/>
  <c r="G23" i="7"/>
  <c r="H23" i="7" s="1"/>
  <c r="D23" i="7"/>
  <c r="G22" i="7"/>
  <c r="D22" i="7"/>
  <c r="G21" i="7"/>
  <c r="H21" i="7" s="1"/>
  <c r="D21" i="7"/>
  <c r="G20" i="7"/>
  <c r="H20" i="7" s="1"/>
  <c r="D20" i="7"/>
  <c r="G18" i="7"/>
  <c r="H18" i="7" s="1"/>
  <c r="D18" i="7"/>
  <c r="G17" i="7"/>
  <c r="H17" i="7" s="1"/>
  <c r="D17" i="7"/>
  <c r="G16" i="7"/>
  <c r="H16" i="7" s="1"/>
  <c r="D16" i="7"/>
  <c r="G15" i="7"/>
  <c r="H15" i="7" s="1"/>
  <c r="D15" i="7"/>
  <c r="G14" i="7"/>
  <c r="H14" i="7" s="1"/>
  <c r="D14" i="7"/>
  <c r="G12" i="7"/>
  <c r="H12" i="7" s="1"/>
  <c r="D12" i="7"/>
  <c r="G11" i="7"/>
  <c r="H11" i="7" s="1"/>
  <c r="D11" i="7"/>
  <c r="G10" i="7"/>
  <c r="H10" i="7" s="1"/>
  <c r="D10" i="7"/>
  <c r="G9" i="7"/>
  <c r="H9" i="7" s="1"/>
  <c r="D9" i="7"/>
  <c r="G8" i="7"/>
  <c r="H8" i="7" s="1"/>
  <c r="D8" i="7"/>
  <c r="G6" i="7"/>
  <c r="H6" i="7" s="1"/>
  <c r="D6" i="7"/>
  <c r="G5" i="7"/>
  <c r="D5" i="7"/>
  <c r="Q29" i="8" l="1"/>
  <c r="M29" i="8"/>
  <c r="U29" i="8"/>
  <c r="N29" i="8"/>
  <c r="T29" i="8"/>
  <c r="P29" i="8"/>
  <c r="Y29" i="8"/>
  <c r="V29" i="8"/>
  <c r="R29" i="8"/>
  <c r="X29" i="8"/>
  <c r="O29" i="8"/>
  <c r="S29" i="8"/>
  <c r="O47" i="7"/>
  <c r="P47" i="7" s="1"/>
  <c r="O48" i="7"/>
  <c r="P48" i="7" s="1"/>
  <c r="O51" i="7"/>
  <c r="P51" i="7" s="1"/>
  <c r="O45" i="7"/>
  <c r="P45" i="7" s="1"/>
  <c r="O32" i="7"/>
  <c r="P32" i="7" s="1"/>
  <c r="O30" i="7"/>
  <c r="P30" i="7" s="1"/>
  <c r="O27" i="7"/>
  <c r="P27" i="7" s="1"/>
  <c r="O28" i="7"/>
  <c r="P28" i="7" s="1"/>
  <c r="O26" i="7"/>
  <c r="P26" i="7" s="1"/>
  <c r="O25" i="7"/>
  <c r="P25" i="7" s="1"/>
  <c r="M10" i="7"/>
  <c r="N10" i="7" s="1"/>
  <c r="I22" i="7"/>
  <c r="D65" i="7"/>
  <c r="D19" i="7"/>
  <c r="M7" i="7" s="1"/>
  <c r="N7" i="7" s="1"/>
  <c r="D31" i="7"/>
  <c r="D37" i="7"/>
  <c r="D68" i="7" s="1"/>
  <c r="G25" i="7"/>
  <c r="D13" i="7"/>
  <c r="D64" i="7" s="1"/>
  <c r="D7" i="7"/>
  <c r="D49" i="7"/>
  <c r="D70" i="7" s="1"/>
  <c r="D25" i="7"/>
  <c r="D66" i="7" s="1"/>
  <c r="G7" i="7"/>
  <c r="G49" i="7"/>
  <c r="H49" i="7" s="1"/>
  <c r="I52" i="7" s="1"/>
  <c r="G43" i="7"/>
  <c r="G37" i="7"/>
  <c r="H37" i="7" s="1"/>
  <c r="I40" i="7" s="1"/>
  <c r="G31" i="7"/>
  <c r="H31" i="7" s="1"/>
  <c r="I34" i="7" s="1"/>
  <c r="G19" i="7"/>
  <c r="H19" i="7" s="1"/>
  <c r="G13" i="7"/>
  <c r="D43" i="7"/>
  <c r="D69" i="7" s="1"/>
  <c r="G63" i="7" l="1"/>
  <c r="H7" i="7"/>
  <c r="I10" i="7" s="1"/>
  <c r="G64" i="7"/>
  <c r="H64" i="7" s="1"/>
  <c r="H13" i="7"/>
  <c r="I16" i="7" s="1"/>
  <c r="M11" i="7"/>
  <c r="N11" i="7" s="1"/>
  <c r="D63" i="7"/>
  <c r="M5" i="7"/>
  <c r="N5" i="7" s="1"/>
  <c r="M8" i="7"/>
  <c r="N8" i="7" s="1"/>
  <c r="M6" i="7"/>
  <c r="N6" i="7" s="1"/>
  <c r="H25" i="7"/>
  <c r="I28" i="7" s="1"/>
  <c r="M12" i="7"/>
  <c r="N12" i="7" s="1"/>
  <c r="H43" i="7"/>
  <c r="I46" i="7" s="1"/>
  <c r="D67" i="7"/>
  <c r="M9" i="7"/>
  <c r="N9" i="7" s="1"/>
  <c r="G69" i="7"/>
  <c r="H69" i="7" s="1"/>
  <c r="G70" i="7"/>
  <c r="H70" i="7" s="1"/>
  <c r="N70" i="7" s="1"/>
  <c r="G67" i="7"/>
  <c r="H67" i="7" s="1"/>
  <c r="G68" i="7"/>
  <c r="H68" i="7" s="1"/>
  <c r="N68" i="7" s="1"/>
  <c r="G65" i="7"/>
  <c r="H65" i="7" s="1"/>
  <c r="G66" i="7"/>
  <c r="H66" i="7" s="1"/>
  <c r="N66" i="7" s="1"/>
  <c r="L64" i="7"/>
  <c r="J64" i="7"/>
  <c r="N64" i="7"/>
  <c r="M64" i="7"/>
  <c r="H63" i="7"/>
  <c r="K64" i="7"/>
  <c r="J69" i="7" l="1"/>
  <c r="K69" i="7"/>
  <c r="L69" i="7"/>
  <c r="M69" i="7"/>
  <c r="N69" i="7"/>
  <c r="L70" i="7"/>
  <c r="M70" i="7"/>
  <c r="J70" i="7"/>
  <c r="K70" i="7"/>
  <c r="L67" i="7"/>
  <c r="J67" i="7"/>
  <c r="M67" i="7"/>
  <c r="K67" i="7"/>
  <c r="N67" i="7"/>
  <c r="L68" i="7"/>
  <c r="K68" i="7"/>
  <c r="M68" i="7"/>
  <c r="J68" i="7"/>
  <c r="J65" i="7"/>
  <c r="M65" i="7"/>
  <c r="K65" i="7"/>
  <c r="L65" i="7"/>
  <c r="N65" i="7"/>
  <c r="J66" i="7"/>
  <c r="M66" i="7"/>
  <c r="K66" i="7"/>
  <c r="L66" i="7"/>
  <c r="O64" i="7"/>
  <c r="O70" i="7" l="1"/>
  <c r="O65" i="7"/>
  <c r="O67" i="7"/>
  <c r="O69" i="7"/>
  <c r="O68" i="7"/>
  <c r="O66" i="7"/>
  <c r="F23" i="6" l="1"/>
  <c r="F5" i="6"/>
  <c r="F17" i="6"/>
  <c r="C43" i="6"/>
  <c r="D43" i="6"/>
  <c r="D44" i="6"/>
  <c r="D45" i="6"/>
  <c r="D46" i="6"/>
  <c r="D47" i="6"/>
  <c r="D48" i="6"/>
  <c r="C44" i="6"/>
  <c r="C45" i="6"/>
  <c r="C46" i="6"/>
  <c r="C47" i="6"/>
  <c r="C48" i="6"/>
  <c r="F48" i="6" l="1"/>
  <c r="F47" i="6"/>
  <c r="F46" i="6"/>
  <c r="G43" i="6"/>
  <c r="H43" i="6"/>
  <c r="E22" i="6"/>
  <c r="E21" i="6"/>
  <c r="E20" i="6"/>
  <c r="E19" i="6"/>
  <c r="E18" i="6"/>
  <c r="E17" i="6"/>
  <c r="F18" i="6"/>
  <c r="E44" i="6" s="1"/>
  <c r="E5" i="6"/>
  <c r="E6" i="6"/>
  <c r="E7" i="6"/>
  <c r="E8" i="6"/>
  <c r="E9" i="6"/>
  <c r="E10" i="6"/>
  <c r="E11" i="6"/>
  <c r="E12" i="6"/>
  <c r="E13" i="6"/>
  <c r="E14" i="6"/>
  <c r="E15" i="6"/>
  <c r="E16" i="6"/>
  <c r="E23" i="6"/>
  <c r="E24" i="6"/>
  <c r="E28" i="6"/>
  <c r="E27" i="6"/>
  <c r="E26" i="6"/>
  <c r="E25" i="6"/>
  <c r="E29" i="6"/>
  <c r="F32" i="6"/>
  <c r="E30" i="6"/>
  <c r="E31" i="6"/>
  <c r="E32" i="6"/>
  <c r="E33" i="6"/>
  <c r="E34" i="6"/>
  <c r="F28" i="6"/>
  <c r="H48" i="6" s="1"/>
  <c r="F27" i="6"/>
  <c r="H47" i="6" s="1"/>
  <c r="F26" i="6"/>
  <c r="H46" i="6" s="1"/>
  <c r="F25" i="6"/>
  <c r="H45" i="6" s="1"/>
  <c r="F24" i="6"/>
  <c r="H44" i="6" s="1"/>
  <c r="F22" i="6"/>
  <c r="E48" i="6" s="1"/>
  <c r="F21" i="6"/>
  <c r="E47" i="6" s="1"/>
  <c r="F20" i="6"/>
  <c r="E46" i="6" s="1"/>
  <c r="F19" i="6"/>
  <c r="E45" i="6" s="1"/>
  <c r="F16" i="6"/>
  <c r="F15" i="6"/>
  <c r="F14" i="6"/>
  <c r="F13" i="6"/>
  <c r="F12" i="6"/>
  <c r="F11" i="6"/>
  <c r="F10" i="6"/>
  <c r="G48" i="6" s="1"/>
  <c r="F9" i="6"/>
  <c r="F8" i="6"/>
  <c r="F7" i="6"/>
  <c r="F6" i="6"/>
  <c r="G44" i="6" s="1"/>
  <c r="I47" i="6" l="1"/>
  <c r="I44" i="6"/>
  <c r="I46" i="6"/>
  <c r="I45" i="6"/>
  <c r="I48" i="6"/>
  <c r="I43" i="6"/>
  <c r="F33" i="6"/>
  <c r="F34" i="6"/>
  <c r="F31" i="6"/>
  <c r="F30" i="6"/>
  <c r="F29" i="6"/>
  <c r="H6" i="5"/>
  <c r="H7" i="5"/>
  <c r="H8" i="5"/>
  <c r="H9" i="5"/>
  <c r="H10" i="5"/>
  <c r="H5" i="5"/>
  <c r="E6" i="5"/>
  <c r="E7" i="5"/>
  <c r="E8" i="5"/>
  <c r="E9" i="5"/>
  <c r="E10" i="5"/>
  <c r="E5" i="5"/>
  <c r="F10" i="5"/>
  <c r="F9" i="5"/>
  <c r="F8" i="5"/>
  <c r="F7" i="5"/>
  <c r="F6" i="5"/>
  <c r="F5" i="5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5" i="4"/>
  <c r="G29" i="1" l="1"/>
  <c r="D29" i="1"/>
  <c r="G28" i="1"/>
  <c r="D28" i="1"/>
  <c r="G26" i="1"/>
  <c r="D26" i="1"/>
  <c r="G25" i="1"/>
  <c r="D25" i="1"/>
  <c r="G27" i="1"/>
  <c r="D27" i="1"/>
  <c r="G19" i="1"/>
  <c r="D19" i="1"/>
  <c r="G18" i="1"/>
  <c r="D18" i="1"/>
  <c r="G16" i="1"/>
  <c r="D16" i="1"/>
  <c r="G15" i="1"/>
  <c r="D15" i="1"/>
  <c r="G17" i="1"/>
  <c r="D17" i="1"/>
  <c r="G14" i="1"/>
  <c r="D14" i="1"/>
  <c r="H14" i="1" s="1"/>
  <c r="G13" i="1"/>
  <c r="D13" i="1"/>
  <c r="G11" i="1"/>
  <c r="D11" i="1"/>
  <c r="G10" i="1"/>
  <c r="D10" i="1"/>
  <c r="G12" i="1"/>
  <c r="D12" i="1"/>
  <c r="G5" i="1"/>
  <c r="G6" i="1"/>
  <c r="G8" i="1"/>
  <c r="G9" i="1"/>
  <c r="G22" i="1"/>
  <c r="G20" i="1"/>
  <c r="G21" i="1"/>
  <c r="G23" i="1"/>
  <c r="G24" i="1"/>
  <c r="G32" i="1"/>
  <c r="G30" i="1"/>
  <c r="G31" i="1"/>
  <c r="G33" i="1"/>
  <c r="G34" i="1"/>
  <c r="G7" i="1"/>
  <c r="D5" i="1"/>
  <c r="D6" i="1"/>
  <c r="D8" i="1"/>
  <c r="D9" i="1"/>
  <c r="D22" i="1"/>
  <c r="D20" i="1"/>
  <c r="D21" i="1"/>
  <c r="D23" i="1"/>
  <c r="D24" i="1"/>
  <c r="D32" i="1"/>
  <c r="D30" i="1"/>
  <c r="D31" i="1"/>
  <c r="D33" i="1"/>
  <c r="D34" i="1"/>
  <c r="D7" i="1"/>
  <c r="H11" i="1" l="1"/>
  <c r="H13" i="1"/>
  <c r="H18" i="1"/>
  <c r="H26" i="1"/>
  <c r="H25" i="1"/>
  <c r="H6" i="1"/>
  <c r="H27" i="1"/>
  <c r="H29" i="1"/>
  <c r="H22" i="1"/>
  <c r="H12" i="1"/>
  <c r="H5" i="1"/>
  <c r="H10" i="1"/>
  <c r="H16" i="1"/>
  <c r="H28" i="1"/>
  <c r="H15" i="1"/>
  <c r="H17" i="1"/>
  <c r="H19" i="1"/>
  <c r="H8" i="1"/>
  <c r="H24" i="1"/>
  <c r="H21" i="1"/>
  <c r="H34" i="1"/>
  <c r="H33" i="1"/>
  <c r="H31" i="1"/>
  <c r="H30" i="1"/>
  <c r="H23" i="1"/>
  <c r="H20" i="1"/>
  <c r="H9" i="1"/>
  <c r="H32" i="1"/>
  <c r="H7" i="1"/>
</calcChain>
</file>

<file path=xl/sharedStrings.xml><?xml version="1.0" encoding="utf-8"?>
<sst xmlns="http://schemas.openxmlformats.org/spreadsheetml/2006/main" count="303" uniqueCount="67">
  <si>
    <t>PJ</t>
  </si>
  <si>
    <t>cm</t>
  </si>
  <si>
    <t>Escenario base</t>
  </si>
  <si>
    <t>Escenario con  eficiencia energética</t>
  </si>
  <si>
    <t>Reducción respecto al escenario base</t>
  </si>
  <si>
    <t>Escala</t>
  </si>
  <si>
    <t>Industrial</t>
  </si>
  <si>
    <t>Residencial</t>
  </si>
  <si>
    <t>Comercial</t>
  </si>
  <si>
    <t>Público</t>
  </si>
  <si>
    <t>Agropecuario</t>
  </si>
  <si>
    <t>Yr</t>
  </si>
  <si>
    <t>Sector</t>
  </si>
  <si>
    <t>%</t>
  </si>
  <si>
    <t>Base</t>
  </si>
  <si>
    <t>Con medidas de eficiencia energética</t>
  </si>
  <si>
    <t>Escenarios</t>
  </si>
  <si>
    <t>Fuente: Estrategia de Transición para Promover el Uso de Tecnologías y Combustibles Más Limpios. Diario Oficial de la Federación. 2 de Diciembre de 2016</t>
  </si>
  <si>
    <t>Datos extraídos de la Figura 35, p 90.</t>
  </si>
  <si>
    <t>al escenario base</t>
  </si>
  <si>
    <t>al total de reducción por año</t>
  </si>
  <si>
    <t xml:space="preserve">Variación respecto </t>
  </si>
  <si>
    <t>Residencial y comercial</t>
  </si>
  <si>
    <t>Todos los sectores</t>
  </si>
  <si>
    <t>Variación</t>
  </si>
  <si>
    <t>respecto al escenario base</t>
  </si>
  <si>
    <t>absoluta</t>
  </si>
  <si>
    <t>Variación respecto al esceneario base de todos los sectores</t>
  </si>
  <si>
    <t>Sector industrial</t>
  </si>
  <si>
    <t>Sector residencial y comercial</t>
  </si>
  <si>
    <t>Transporte</t>
  </si>
  <si>
    <t>Diferencia</t>
  </si>
  <si>
    <t>Base con reducción del sector comercial y residencial</t>
  </si>
  <si>
    <t>Base con reducción del sector industrial, comercial y residencial</t>
  </si>
  <si>
    <t>Base con medidas de eficiencia energética del sector industrial</t>
  </si>
  <si>
    <t>Linea base para el estado de Chihuahua</t>
  </si>
  <si>
    <t>Proyecciones de elaboración propia</t>
  </si>
  <si>
    <t>Gg CO2e</t>
  </si>
  <si>
    <t>Fuente:</t>
  </si>
  <si>
    <t>Hoja:</t>
  </si>
  <si>
    <t>Filas:</t>
  </si>
  <si>
    <t>137 y 138</t>
  </si>
  <si>
    <t>InvEstatalGEI_Chihuahua13-17</t>
  </si>
  <si>
    <t>Libro:</t>
  </si>
  <si>
    <t>Escenarios 1A1a.xlsx</t>
  </si>
  <si>
    <t>Ruta:</t>
  </si>
  <si>
    <t>M:\PROJECTS\PECC Chih</t>
  </si>
  <si>
    <t>Fecha:</t>
  </si>
  <si>
    <t>Tasa anual de reducción:</t>
  </si>
  <si>
    <t>Factor de emisión eléctrico</t>
  </si>
  <si>
    <t>Año</t>
  </si>
  <si>
    <t>toneladas de CO2 / MWh</t>
  </si>
  <si>
    <t>Promedio</t>
  </si>
  <si>
    <t xml:space="preserve">Fuente: </t>
  </si>
  <si>
    <t>Comisión reguladora de energía. https://www.gob.mx/cms/uploads/attachment/file/304573/Factor_de_Emisi_n_del_Sector_El_ctrico_Nacional_1.pdf</t>
  </si>
  <si>
    <t>Fuente: elaboración propia</t>
  </si>
  <si>
    <t>MWh</t>
  </si>
  <si>
    <t>Electricidad neta</t>
  </si>
  <si>
    <t>Factor de conversión</t>
  </si>
  <si>
    <t>PJ/MWh</t>
  </si>
  <si>
    <t>Metas de reducción estatal por implementación de medidas de eficiencia energética</t>
  </si>
  <si>
    <t>Escenario base menos reducción por eficiencia energética</t>
  </si>
  <si>
    <t>Tasa de reducción anual</t>
  </si>
  <si>
    <t>a</t>
  </si>
  <si>
    <t>b</t>
  </si>
  <si>
    <t>Energía eléctrica ahorrada (MWh)</t>
  </si>
  <si>
    <t xml:space="preserve">Variación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</si>
</sst>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0.0"/>
    <numFmt numFmtId="166" formatCode="#,##0.0"/>
    <numFmt numFmtId="167" formatCode="_-* #,##0.000_-;\-* #,##0.000_-;_-* &quot;-&quot;??_-;_-@_-"/>
    <numFmt numFmtId="168" formatCode="_-* #,##0.00000_-;\-* #,##0.00000_-;_-* &quot;-&quot;??_-;_-@_-"/>
    <numFmt numFmtId="169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2" borderId="0" applyNumberFormat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/>
    <xf numFmtId="0" fontId="0" fillId="0" borderId="0" xfId="0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/>
    <xf numFmtId="165" fontId="2" fillId="0" borderId="0" xfId="0" applyNumberFormat="1" applyFont="1" applyAlignment="1">
      <alignment horizontal="right" indent="3"/>
    </xf>
    <xf numFmtId="164" fontId="2" fillId="0" borderId="0" xfId="1" applyNumberFormat="1" applyFont="1" applyAlignment="1">
      <alignment horizontal="right" indent="3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166" fontId="2" fillId="0" borderId="0" xfId="2" applyNumberFormat="1" applyFont="1" applyAlignment="1">
      <alignment horizontal="right" indent="3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4" fontId="2" fillId="0" borderId="0" xfId="2" applyNumberFormat="1" applyFont="1" applyAlignment="1">
      <alignment horizontal="right" indent="3"/>
    </xf>
    <xf numFmtId="4" fontId="0" fillId="0" borderId="0" xfId="0" applyNumberFormat="1"/>
    <xf numFmtId="9" fontId="2" fillId="0" borderId="0" xfId="1" applyFont="1" applyAlignment="1">
      <alignment horizontal="right" indent="1"/>
    </xf>
    <xf numFmtId="9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Fill="1"/>
    <xf numFmtId="0" fontId="0" fillId="3" borderId="0" xfId="0" applyFill="1"/>
    <xf numFmtId="165" fontId="0" fillId="3" borderId="0" xfId="0" applyNumberFormat="1" applyFill="1"/>
    <xf numFmtId="43" fontId="0" fillId="3" borderId="0" xfId="2" applyFont="1" applyFill="1" applyAlignment="1">
      <alignment horizontal="center"/>
    </xf>
    <xf numFmtId="0" fontId="0" fillId="4" borderId="0" xfId="0" applyFill="1"/>
    <xf numFmtId="165" fontId="0" fillId="4" borderId="0" xfId="0" applyNumberFormat="1" applyFill="1"/>
    <xf numFmtId="43" fontId="0" fillId="4" borderId="0" xfId="2" applyFont="1" applyFill="1" applyAlignment="1">
      <alignment horizontal="center"/>
    </xf>
    <xf numFmtId="43" fontId="0" fillId="0" borderId="0" xfId="0" applyNumberFormat="1" applyFill="1"/>
    <xf numFmtId="9" fontId="0" fillId="0" borderId="0" xfId="1" applyFont="1" applyFill="1"/>
    <xf numFmtId="166" fontId="2" fillId="0" borderId="0" xfId="2" applyNumberFormat="1" applyFont="1" applyAlignment="1">
      <alignment horizontal="right" indent="2"/>
    </xf>
    <xf numFmtId="43" fontId="2" fillId="0" borderId="0" xfId="0" applyNumberFormat="1" applyFont="1" applyFill="1"/>
    <xf numFmtId="9" fontId="2" fillId="0" borderId="0" xfId="1" applyFont="1" applyFill="1"/>
    <xf numFmtId="0" fontId="0" fillId="6" borderId="1" xfId="0" applyFill="1" applyBorder="1"/>
    <xf numFmtId="0" fontId="4" fillId="6" borderId="1" xfId="0" applyFont="1" applyFill="1" applyBorder="1" applyAlignment="1">
      <alignment horizontal="center"/>
    </xf>
    <xf numFmtId="0" fontId="6" fillId="5" borderId="3" xfId="3" applyNumberFormat="1" applyFont="1" applyFill="1" applyBorder="1" applyAlignment="1">
      <alignment horizontal="center"/>
    </xf>
    <xf numFmtId="43" fontId="0" fillId="6" borderId="1" xfId="2" applyFont="1" applyFill="1" applyBorder="1"/>
    <xf numFmtId="14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11" fontId="0" fillId="0" borderId="0" xfId="0" applyNumberFormat="1"/>
    <xf numFmtId="168" fontId="0" fillId="6" borderId="1" xfId="2" applyNumberFormat="1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167" fontId="0" fillId="0" borderId="0" xfId="2" applyNumberFormat="1" applyFont="1" applyFill="1" applyBorder="1"/>
    <xf numFmtId="168" fontId="0" fillId="6" borderId="4" xfId="2" applyNumberFormat="1" applyFont="1" applyFill="1" applyBorder="1"/>
    <xf numFmtId="0" fontId="0" fillId="6" borderId="5" xfId="0" applyFill="1" applyBorder="1"/>
    <xf numFmtId="0" fontId="4" fillId="6" borderId="5" xfId="0" applyFont="1" applyFill="1" applyBorder="1" applyAlignment="1">
      <alignment horizontal="center"/>
    </xf>
    <xf numFmtId="167" fontId="0" fillId="6" borderId="5" xfId="2" applyNumberFormat="1" applyFont="1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4" xfId="0" applyFill="1" applyBorder="1"/>
    <xf numFmtId="164" fontId="0" fillId="0" borderId="0" xfId="1" applyNumberFormat="1" applyFont="1"/>
    <xf numFmtId="43" fontId="0" fillId="6" borderId="1" xfId="0" applyNumberFormat="1" applyFill="1" applyBorder="1"/>
    <xf numFmtId="0" fontId="7" fillId="0" borderId="1" xfId="0" applyFont="1" applyFill="1" applyBorder="1"/>
    <xf numFmtId="0" fontId="7" fillId="0" borderId="1" xfId="3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69" fontId="2" fillId="0" borderId="1" xfId="2" applyNumberFormat="1" applyFont="1" applyBorder="1" applyAlignment="1">
      <alignment horizontal="right" indent="9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6" fillId="5" borderId="0" xfId="0" applyFont="1" applyFill="1" applyAlignment="1">
      <alignment horizontal="left"/>
    </xf>
    <xf numFmtId="0" fontId="6" fillId="5" borderId="2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top" wrapText="1"/>
    </xf>
  </cellXfs>
  <cellStyles count="4">
    <cellStyle name="Accent1" xfId="3" builtinId="29"/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2"/>
          <c:order val="0"/>
          <c:tx>
            <c:strRef>
              <c:f>'Sheet1 (2)'!$A$17</c:f>
              <c:strCache>
                <c:ptCount val="1"/>
                <c:pt idx="0">
                  <c:v>Industrial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'Sheet1 (2)'!$B$17:$B$22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xVal>
          <c:yVal>
            <c:numRef>
              <c:f>'Sheet1 (2)'!$F$17:$F$22</c:f>
              <c:numCache>
                <c:formatCode>0.0</c:formatCode>
                <c:ptCount val="6"/>
                <c:pt idx="0">
                  <c:v>102.79557251213384</c:v>
                </c:pt>
                <c:pt idx="1">
                  <c:v>-30.680535777465934</c:v>
                </c:pt>
                <c:pt idx="2">
                  <c:v>-75.778759782666839</c:v>
                </c:pt>
                <c:pt idx="3">
                  <c:v>-148.1274064821373</c:v>
                </c:pt>
                <c:pt idx="4">
                  <c:v>-342.59368558255142</c:v>
                </c:pt>
                <c:pt idx="5">
                  <c:v>-529.38677583905906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503-4CFB-A6DD-D44EEB6798B8}"/>
            </c:ext>
          </c:extLst>
        </c:ser>
        <c:ser>
          <c:idx val="4"/>
          <c:order val="1"/>
          <c:tx>
            <c:strRef>
              <c:f>'Sheet1 (2)'!$A$29</c:f>
              <c:strCache>
                <c:ptCount val="1"/>
                <c:pt idx="0">
                  <c:v>Residencial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'Sheet1 (2)'!$B$29:$B$34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xVal>
          <c:yVal>
            <c:numRef>
              <c:f>'Sheet1 (2)'!$F$29:$F$34</c:f>
              <c:numCache>
                <c:formatCode>0.0</c:formatCode>
                <c:ptCount val="6"/>
                <c:pt idx="0">
                  <c:v>1.6733661478795341</c:v>
                </c:pt>
                <c:pt idx="1">
                  <c:v>4.8957460623742861</c:v>
                </c:pt>
                <c:pt idx="2">
                  <c:v>-8.9195878561154132</c:v>
                </c:pt>
                <c:pt idx="3">
                  <c:v>-23.814559211939724</c:v>
                </c:pt>
                <c:pt idx="4">
                  <c:v>-76.123064930791543</c:v>
                </c:pt>
                <c:pt idx="5">
                  <c:v>-149.82089902698456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503-4CFB-A6DD-D44EEB6798B8}"/>
            </c:ext>
          </c:extLst>
        </c:ser>
        <c:ser>
          <c:idx val="1"/>
          <c:order val="2"/>
          <c:tx>
            <c:strRef>
              <c:f>'Sheet1 (2)'!$A$11</c:f>
              <c:strCache>
                <c:ptCount val="1"/>
                <c:pt idx="0">
                  <c:v>Comercial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accent2"/>
                </a:solidFill>
                <a:prstDash val="solid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'Sheet1 (2)'!$B$11:$B$16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xVal>
          <c:yVal>
            <c:numRef>
              <c:f>'Sheet1 (2)'!$F$11:$F$16</c:f>
              <c:numCache>
                <c:formatCode>0.0</c:formatCode>
                <c:ptCount val="6"/>
                <c:pt idx="0">
                  <c:v>11.413104680425576</c:v>
                </c:pt>
                <c:pt idx="1">
                  <c:v>2.6272136041664851</c:v>
                </c:pt>
                <c:pt idx="2">
                  <c:v>1.5806409618501007</c:v>
                </c:pt>
                <c:pt idx="3">
                  <c:v>-16.619372296014568</c:v>
                </c:pt>
                <c:pt idx="4">
                  <c:v>-59.579885423297263</c:v>
                </c:pt>
                <c:pt idx="5">
                  <c:v>-49.56556533212148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503-4CFB-A6DD-D44EEB6798B8}"/>
            </c:ext>
          </c:extLst>
        </c:ser>
        <c:ser>
          <c:idx val="0"/>
          <c:order val="3"/>
          <c:tx>
            <c:strRef>
              <c:f>'Sheet1 (2)'!$A$5</c:f>
              <c:strCache>
                <c:ptCount val="1"/>
                <c:pt idx="0">
                  <c:v>Agropecuario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'Sheet1 (2)'!$B$5:$B$10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xVal>
          <c:yVal>
            <c:numRef>
              <c:f>'Sheet1 (2)'!$F$5:$F$10</c:f>
              <c:numCache>
                <c:formatCode>0.0</c:formatCode>
                <c:ptCount val="6"/>
                <c:pt idx="0">
                  <c:v>-0.71089309289209979</c:v>
                </c:pt>
                <c:pt idx="1">
                  <c:v>-9.9927560944247489</c:v>
                </c:pt>
                <c:pt idx="2">
                  <c:v>-0.94234665801975837</c:v>
                </c:pt>
                <c:pt idx="3">
                  <c:v>10.416129230636528</c:v>
                </c:pt>
                <c:pt idx="4">
                  <c:v>-1.0746058380927224</c:v>
                </c:pt>
                <c:pt idx="5">
                  <c:v>-15.953044796407909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503-4CFB-A6DD-D44EEB6798B8}"/>
            </c:ext>
          </c:extLst>
        </c:ser>
        <c:ser>
          <c:idx val="3"/>
          <c:order val="4"/>
          <c:tx>
            <c:strRef>
              <c:f>'Sheet1 (2)'!$A$23</c:f>
              <c:strCache>
                <c:ptCount val="1"/>
                <c:pt idx="0">
                  <c:v>Público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'Sheet1 (2)'!$B$23:$B$28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xVal>
          <c:yVal>
            <c:numRef>
              <c:f>'Sheet1 (2)'!$F$23:$F$28</c:f>
              <c:numCache>
                <c:formatCode>0.0</c:formatCode>
                <c:ptCount val="6"/>
                <c:pt idx="0">
                  <c:v>4.1862905692655552</c:v>
                </c:pt>
                <c:pt idx="1">
                  <c:v>-0.34718034769149142</c:v>
                </c:pt>
                <c:pt idx="2">
                  <c:v>-2.7213763899792909</c:v>
                </c:pt>
                <c:pt idx="3">
                  <c:v>-6.1586774720925916</c:v>
                </c:pt>
                <c:pt idx="4">
                  <c:v>6.1637090713345017</c:v>
                </c:pt>
                <c:pt idx="5">
                  <c:v>10.564920808218609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503-4CFB-A6DD-D44EEB679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909240"/>
        <c:axId val="559913176"/>
      </c:scatterChart>
      <c:valAx>
        <c:axId val="559909240"/>
        <c:scaling>
          <c:orientation val="minMax"/>
          <c:max val="205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59913176"/>
        <c:crossesAt val="-600"/>
        <c:crossBetween val="midCat"/>
      </c:valAx>
      <c:valAx>
        <c:axId val="559913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Reducción absoluta de demanda eléctrica respecto al escenario base (PJ)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59909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1"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'Sheet1 (2)'!$A$5</c:f>
              <c:strCache>
                <c:ptCount val="1"/>
                <c:pt idx="0">
                  <c:v>Agropecuario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'Sheet1 (2)'!$B$5:$B$10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xVal>
          <c:yVal>
            <c:numRef>
              <c:f>'Sheet1 (2)'!$F$5:$F$10</c:f>
              <c:numCache>
                <c:formatCode>0.0</c:formatCode>
                <c:ptCount val="6"/>
                <c:pt idx="0">
                  <c:v>-0.71089309289209979</c:v>
                </c:pt>
                <c:pt idx="1">
                  <c:v>-9.9927560944247489</c:v>
                </c:pt>
                <c:pt idx="2">
                  <c:v>-0.94234665801975837</c:v>
                </c:pt>
                <c:pt idx="3">
                  <c:v>10.416129230636528</c:v>
                </c:pt>
                <c:pt idx="4">
                  <c:v>-1.0746058380927224</c:v>
                </c:pt>
                <c:pt idx="5">
                  <c:v>-15.953044796407909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406-4E6A-B91E-3DC307F1097D}"/>
            </c:ext>
          </c:extLst>
        </c:ser>
        <c:ser>
          <c:idx val="3"/>
          <c:order val="1"/>
          <c:tx>
            <c:strRef>
              <c:f>'Sheet1 (2)'!$A$23</c:f>
              <c:strCache>
                <c:ptCount val="1"/>
                <c:pt idx="0">
                  <c:v>Público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'Sheet1 (2)'!$B$23:$B$28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xVal>
          <c:yVal>
            <c:numRef>
              <c:f>'Sheet1 (2)'!$F$23:$F$28</c:f>
              <c:numCache>
                <c:formatCode>0.0</c:formatCode>
                <c:ptCount val="6"/>
                <c:pt idx="0">
                  <c:v>4.1862905692655552</c:v>
                </c:pt>
                <c:pt idx="1">
                  <c:v>-0.34718034769149142</c:v>
                </c:pt>
                <c:pt idx="2">
                  <c:v>-2.7213763899792909</c:v>
                </c:pt>
                <c:pt idx="3">
                  <c:v>-6.1586774720925916</c:v>
                </c:pt>
                <c:pt idx="4">
                  <c:v>6.1637090713345017</c:v>
                </c:pt>
                <c:pt idx="5">
                  <c:v>10.564920808218609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406-4E6A-B91E-3DC307F10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909240"/>
        <c:axId val="559913176"/>
      </c:scatterChart>
      <c:valAx>
        <c:axId val="559909240"/>
        <c:scaling>
          <c:orientation val="minMax"/>
          <c:max val="205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59913176"/>
        <c:crossesAt val="-600"/>
        <c:crossBetween val="midCat"/>
      </c:valAx>
      <c:valAx>
        <c:axId val="559913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Reducción absoluta de demanda eléctrica respecto al escenario base (PJ)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59909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1"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2"/>
          <c:order val="0"/>
          <c:tx>
            <c:strRef>
              <c:f>'Sheet1 (2)'!$A$17</c:f>
              <c:strCache>
                <c:ptCount val="1"/>
                <c:pt idx="0">
                  <c:v>Industrial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'Sheet1 (2)'!$B$17:$B$22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xVal>
          <c:yVal>
            <c:numRef>
              <c:f>'Sheet1 (2)'!$F$17:$F$22</c:f>
              <c:numCache>
                <c:formatCode>0.0</c:formatCode>
                <c:ptCount val="6"/>
                <c:pt idx="0">
                  <c:v>102.79557251213384</c:v>
                </c:pt>
                <c:pt idx="1">
                  <c:v>-30.680535777465934</c:v>
                </c:pt>
                <c:pt idx="2">
                  <c:v>-75.778759782666839</c:v>
                </c:pt>
                <c:pt idx="3">
                  <c:v>-148.1274064821373</c:v>
                </c:pt>
                <c:pt idx="4">
                  <c:v>-342.59368558255142</c:v>
                </c:pt>
                <c:pt idx="5">
                  <c:v>-529.38677583905906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EC-4E77-BBCA-587091EF1837}"/>
            </c:ext>
          </c:extLst>
        </c:ser>
        <c:ser>
          <c:idx val="0"/>
          <c:order val="1"/>
          <c:tx>
            <c:strRef>
              <c:f>'Sheet1 (2)'!$A$5</c:f>
              <c:strCache>
                <c:ptCount val="1"/>
                <c:pt idx="0">
                  <c:v>Agropecuario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'Sheet1 (2)'!$B$5:$B$10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xVal>
          <c:yVal>
            <c:numRef>
              <c:f>'Sheet1 (2)'!$F$5:$F$10</c:f>
              <c:numCache>
                <c:formatCode>0.0</c:formatCode>
                <c:ptCount val="6"/>
                <c:pt idx="0">
                  <c:v>-0.71089309289209979</c:v>
                </c:pt>
                <c:pt idx="1">
                  <c:v>-9.9927560944247489</c:v>
                </c:pt>
                <c:pt idx="2">
                  <c:v>-0.94234665801975837</c:v>
                </c:pt>
                <c:pt idx="3">
                  <c:v>10.416129230636528</c:v>
                </c:pt>
                <c:pt idx="4">
                  <c:v>-1.0746058380927224</c:v>
                </c:pt>
                <c:pt idx="5">
                  <c:v>-15.953044796407909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C2EC-4E77-BBCA-587091EF1837}"/>
            </c:ext>
          </c:extLst>
        </c:ser>
        <c:ser>
          <c:idx val="3"/>
          <c:order val="2"/>
          <c:tx>
            <c:strRef>
              <c:f>'Sheet1 (2)'!$A$23</c:f>
              <c:strCache>
                <c:ptCount val="1"/>
                <c:pt idx="0">
                  <c:v>Público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'Sheet1 (2)'!$B$23:$B$28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xVal>
          <c:yVal>
            <c:numRef>
              <c:f>'Sheet1 (2)'!$F$23:$F$28</c:f>
              <c:numCache>
                <c:formatCode>0.0</c:formatCode>
                <c:ptCount val="6"/>
                <c:pt idx="0">
                  <c:v>4.1862905692655552</c:v>
                </c:pt>
                <c:pt idx="1">
                  <c:v>-0.34718034769149142</c:v>
                </c:pt>
                <c:pt idx="2">
                  <c:v>-2.7213763899792909</c:v>
                </c:pt>
                <c:pt idx="3">
                  <c:v>-6.1586774720925916</c:v>
                </c:pt>
                <c:pt idx="4">
                  <c:v>6.1637090713345017</c:v>
                </c:pt>
                <c:pt idx="5">
                  <c:v>10.564920808218609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2EC-4E77-BBCA-587091EF1837}"/>
            </c:ext>
          </c:extLst>
        </c:ser>
        <c:ser>
          <c:idx val="5"/>
          <c:order val="3"/>
          <c:tx>
            <c:strRef>
              <c:f>'Sheet1 (3)'!$A$6</c:f>
              <c:strCache>
                <c:ptCount val="1"/>
                <c:pt idx="0">
                  <c:v>Residencial y comercial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'Sheet1 (3)'!$B$5:$B$10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xVal>
          <c:yVal>
            <c:numRef>
              <c:f>'Sheet1 (3)'!$F$5:$F$10</c:f>
              <c:numCache>
                <c:formatCode>0.0</c:formatCode>
                <c:ptCount val="6"/>
                <c:pt idx="0">
                  <c:v>13.086470828305096</c:v>
                </c:pt>
                <c:pt idx="1">
                  <c:v>7.5229596665407712</c:v>
                </c:pt>
                <c:pt idx="2">
                  <c:v>-7.3389468942652911</c:v>
                </c:pt>
                <c:pt idx="3">
                  <c:v>-40.433931507954298</c:v>
                </c:pt>
                <c:pt idx="4">
                  <c:v>-135.70295035408878</c:v>
                </c:pt>
                <c:pt idx="5">
                  <c:v>-199.38646435910601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C2EC-4E77-BBCA-587091EF1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909240"/>
        <c:axId val="559913176"/>
      </c:scatterChart>
      <c:valAx>
        <c:axId val="559909240"/>
        <c:scaling>
          <c:orientation val="minMax"/>
          <c:max val="205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59913176"/>
        <c:crossesAt val="-600"/>
        <c:crossBetween val="midCat"/>
      </c:valAx>
      <c:valAx>
        <c:axId val="559913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Reducción absoluta de demanda eléctrica respecto al escenario base (PJ)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59909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1"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2"/>
          <c:order val="0"/>
          <c:tx>
            <c:strRef>
              <c:f>'Sheet1 (4)'!$A$17</c:f>
              <c:strCache>
                <c:ptCount val="1"/>
                <c:pt idx="0">
                  <c:v>Industrial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'Sheet1 (4)'!$B$17:$B$22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xVal>
          <c:yVal>
            <c:numRef>
              <c:f>'Sheet1 (4)'!$F$17:$F$22</c:f>
              <c:numCache>
                <c:formatCode>0.0</c:formatCode>
                <c:ptCount val="6"/>
                <c:pt idx="0">
                  <c:v>102.79557251213384</c:v>
                </c:pt>
                <c:pt idx="1">
                  <c:v>9.961998726925458</c:v>
                </c:pt>
                <c:pt idx="2">
                  <c:v>-75.778759782666839</c:v>
                </c:pt>
                <c:pt idx="3">
                  <c:v>-148.1274064821373</c:v>
                </c:pt>
                <c:pt idx="4">
                  <c:v>-342.59368558255142</c:v>
                </c:pt>
                <c:pt idx="5">
                  <c:v>-529.38677583905906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0E6-4D34-9A0D-CE160A569A06}"/>
            </c:ext>
          </c:extLst>
        </c:ser>
        <c:ser>
          <c:idx val="4"/>
          <c:order val="1"/>
          <c:tx>
            <c:strRef>
              <c:f>'Sheet1 (4)'!$A$29</c:f>
              <c:strCache>
                <c:ptCount val="1"/>
                <c:pt idx="0">
                  <c:v>Residencial</c:v>
                </c:pt>
              </c:strCache>
            </c:strRef>
          </c:tx>
          <c:spPr>
            <a:ln w="2540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5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50" b="1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'Sheet1 (4)'!$B$31:$B$34</c:f>
              <c:numCache>
                <c:formatCode>General</c:formatCode>
                <c:ptCount val="4"/>
                <c:pt idx="0">
                  <c:v>2025</c:v>
                </c:pt>
                <c:pt idx="1">
                  <c:v>2030</c:v>
                </c:pt>
                <c:pt idx="2">
                  <c:v>2040</c:v>
                </c:pt>
                <c:pt idx="3">
                  <c:v>2050</c:v>
                </c:pt>
              </c:numCache>
            </c:numRef>
          </c:xVal>
          <c:yVal>
            <c:numRef>
              <c:f>'Sheet1 (4)'!$F$31:$F$34</c:f>
              <c:numCache>
                <c:formatCode>0.0</c:formatCode>
                <c:ptCount val="4"/>
                <c:pt idx="0">
                  <c:v>-8.9195878561154132</c:v>
                </c:pt>
                <c:pt idx="1">
                  <c:v>-23.814559211939724</c:v>
                </c:pt>
                <c:pt idx="2">
                  <c:v>-76.123064930791543</c:v>
                </c:pt>
                <c:pt idx="3">
                  <c:v>-149.82089902698456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0E6-4D34-9A0D-CE160A569A06}"/>
            </c:ext>
          </c:extLst>
        </c:ser>
        <c:ser>
          <c:idx val="1"/>
          <c:order val="2"/>
          <c:tx>
            <c:strRef>
              <c:f>'Sheet1 (4)'!$A$11</c:f>
              <c:strCache>
                <c:ptCount val="1"/>
                <c:pt idx="0">
                  <c:v>Comercial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accent2"/>
                </a:solidFill>
                <a:prstDash val="solid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'Sheet1 (4)'!$B$11:$B$16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xVal>
          <c:yVal>
            <c:numRef>
              <c:f>'Sheet1 (4)'!$F$11:$F$16</c:f>
              <c:numCache>
                <c:formatCode>0.0</c:formatCode>
                <c:ptCount val="6"/>
                <c:pt idx="0">
                  <c:v>11.413104680425576</c:v>
                </c:pt>
                <c:pt idx="1">
                  <c:v>2.6272136041664851</c:v>
                </c:pt>
                <c:pt idx="2">
                  <c:v>1.5806409618501007</c:v>
                </c:pt>
                <c:pt idx="3">
                  <c:v>-16.619372296014568</c:v>
                </c:pt>
                <c:pt idx="4">
                  <c:v>-59.579885423297263</c:v>
                </c:pt>
                <c:pt idx="5">
                  <c:v>-49.56556533212148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0E6-4D34-9A0D-CE160A569A06}"/>
            </c:ext>
          </c:extLst>
        </c:ser>
        <c:ser>
          <c:idx val="0"/>
          <c:order val="3"/>
          <c:tx>
            <c:strRef>
              <c:f>'Sheet1 (4)'!$A$5</c:f>
              <c:strCache>
                <c:ptCount val="1"/>
                <c:pt idx="0">
                  <c:v>Agropecuario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'Sheet1 (4)'!$B$5:$B$10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xVal>
          <c:yVal>
            <c:numRef>
              <c:f>'Sheet1 (4)'!$F$5:$F$10</c:f>
              <c:numCache>
                <c:formatCode>0.0</c:formatCode>
                <c:ptCount val="6"/>
                <c:pt idx="0">
                  <c:v>-0.71089309289209979</c:v>
                </c:pt>
                <c:pt idx="1">
                  <c:v>-9.9927560944247489</c:v>
                </c:pt>
                <c:pt idx="2">
                  <c:v>-0.94234665801975837</c:v>
                </c:pt>
                <c:pt idx="3">
                  <c:v>10.416129230636528</c:v>
                </c:pt>
                <c:pt idx="4">
                  <c:v>-1.0746058380927224</c:v>
                </c:pt>
                <c:pt idx="5">
                  <c:v>-15.953044796407909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0E6-4D34-9A0D-CE160A569A06}"/>
            </c:ext>
          </c:extLst>
        </c:ser>
        <c:ser>
          <c:idx val="3"/>
          <c:order val="4"/>
          <c:tx>
            <c:strRef>
              <c:f>'Sheet1 (4)'!$A$23</c:f>
              <c:strCache>
                <c:ptCount val="1"/>
                <c:pt idx="0">
                  <c:v>Público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'Sheet1 (4)'!$B$23:$B$28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xVal>
          <c:yVal>
            <c:numRef>
              <c:f>'Sheet1 (4)'!$F$23:$F$28</c:f>
              <c:numCache>
                <c:formatCode>0.0</c:formatCode>
                <c:ptCount val="6"/>
                <c:pt idx="0">
                  <c:v>4.1862905692655552</c:v>
                </c:pt>
                <c:pt idx="1">
                  <c:v>-0.34718034769149142</c:v>
                </c:pt>
                <c:pt idx="2">
                  <c:v>-2.7213763899792909</c:v>
                </c:pt>
                <c:pt idx="3">
                  <c:v>-6.1586774720925916</c:v>
                </c:pt>
                <c:pt idx="4">
                  <c:v>6.1637090713345017</c:v>
                </c:pt>
                <c:pt idx="5">
                  <c:v>10.564920808218609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0E6-4D34-9A0D-CE160A569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909240"/>
        <c:axId val="559913176"/>
      </c:scatterChart>
      <c:valAx>
        <c:axId val="559909240"/>
        <c:scaling>
          <c:orientation val="minMax"/>
          <c:max val="205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59913176"/>
        <c:crossesAt val="-600"/>
        <c:crossBetween val="midCat"/>
      </c:valAx>
      <c:valAx>
        <c:axId val="559913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Reducción absoluta de demanda eléctrica respecto al escenario base (PJ)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59909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1"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'Sheet1 (4)'!$E$41:$E$42</c:f>
              <c:strCache>
                <c:ptCount val="2"/>
                <c:pt idx="0">
                  <c:v>Sector industrial</c:v>
                </c:pt>
                <c:pt idx="1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'Sheet1 (4)'!$B$43:$B$48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'Sheet1 (4)'!$E$43:$E$48</c:f>
              <c:numCache>
                <c:formatCode>#,##0.00</c:formatCode>
                <c:ptCount val="6"/>
                <c:pt idx="0">
                  <c:v>0.86124142582700469</c:v>
                </c:pt>
                <c:pt idx="1">
                  <c:v>1.3942572597755514</c:v>
                </c:pt>
                <c:pt idx="2">
                  <c:v>0.87321400468810662</c:v>
                </c:pt>
                <c:pt idx="3">
                  <c:v>0.80371287611396058</c:v>
                </c:pt>
                <c:pt idx="4">
                  <c:v>0.72398189357920784</c:v>
                </c:pt>
                <c:pt idx="5">
                  <c:v>0.72107686629050549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30-4209-9A45-29BD55D56AA4}"/>
            </c:ext>
          </c:extLst>
        </c:ser>
        <c:ser>
          <c:idx val="2"/>
          <c:order val="1"/>
          <c:tx>
            <c:strRef>
              <c:f>'Sheet1 (4)'!$F$41:$F$42</c:f>
              <c:strCache>
                <c:ptCount val="2"/>
                <c:pt idx="0">
                  <c:v>Sector residencial y comercial</c:v>
                </c:pt>
                <c:pt idx="1">
                  <c:v>%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'Sheet1 (4)'!$B$43:$B$48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'Sheet1 (4)'!$F$43:$F$48</c:f>
              <c:numCache>
                <c:formatCode>#,##0.00</c:formatCode>
                <c:ptCount val="6"/>
                <c:pt idx="0">
                  <c:v>0.10964101390536656</c:v>
                </c:pt>
                <c:pt idx="1">
                  <c:v>1.0528952489949075</c:v>
                </c:pt>
                <c:pt idx="2">
                  <c:v>8.456817221757397E-2</c:v>
                </c:pt>
                <c:pt idx="3">
                  <c:v>0.21938729743959764</c:v>
                </c:pt>
                <c:pt idx="4">
                  <c:v>0.28677259125362647</c:v>
                </c:pt>
                <c:pt idx="5">
                  <c:v>0.27158397878929397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30-4209-9A45-29BD55D56AA4}"/>
            </c:ext>
          </c:extLst>
        </c:ser>
        <c:ser>
          <c:idx val="3"/>
          <c:order val="2"/>
          <c:tx>
            <c:strRef>
              <c:f>'Sheet1 (4)'!$G$41:$G$42</c:f>
              <c:strCache>
                <c:ptCount val="2"/>
                <c:pt idx="0">
                  <c:v>Agropecuario</c:v>
                </c:pt>
                <c:pt idx="1">
                  <c:v>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'Sheet1 (4)'!$B$43:$B$48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'Sheet1 (4)'!$G$43:$G$48</c:f>
              <c:numCache>
                <c:formatCode>#,##0.00</c:formatCode>
                <c:ptCount val="6"/>
                <c:pt idx="0">
                  <c:v>-5.9560014694279954E-3</c:v>
                </c:pt>
                <c:pt idx="1">
                  <c:v>-1.3985619865781722</c:v>
                </c:pt>
                <c:pt idx="2">
                  <c:v>1.0858851496301541E-2</c:v>
                </c:pt>
                <c:pt idx="3">
                  <c:v>-5.6516058579200931E-2</c:v>
                </c:pt>
                <c:pt idx="4">
                  <c:v>2.2708975741649361E-3</c:v>
                </c:pt>
                <c:pt idx="5">
                  <c:v>2.1729616368586915E-2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30-4209-9A45-29BD55D56AA4}"/>
            </c:ext>
          </c:extLst>
        </c:ser>
        <c:ser>
          <c:idx val="4"/>
          <c:order val="3"/>
          <c:tx>
            <c:strRef>
              <c:f>'Sheet1 (4)'!$H$41:$H$42</c:f>
              <c:strCache>
                <c:ptCount val="2"/>
                <c:pt idx="0">
                  <c:v>Público</c:v>
                </c:pt>
                <c:pt idx="1">
                  <c:v>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'Sheet1 (4)'!$B$43:$B$48</c:f>
              <c:numCache>
                <c:formatCode>General</c:formatCode>
                <c:ptCount val="6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2040</c:v>
                </c:pt>
                <c:pt idx="5">
                  <c:v>2050</c:v>
                </c:pt>
              </c:numCache>
            </c:numRef>
          </c:cat>
          <c:val>
            <c:numRef>
              <c:f>'Sheet1 (4)'!$H$43:$H$48</c:f>
              <c:numCache>
                <c:formatCode>#,##0.00</c:formatCode>
                <c:ptCount val="6"/>
                <c:pt idx="0">
                  <c:v>3.5073561737056648E-2</c:v>
                </c:pt>
                <c:pt idx="1">
                  <c:v>-4.8590522192292589E-2</c:v>
                </c:pt>
                <c:pt idx="2">
                  <c:v>3.1358971598015373E-2</c:v>
                </c:pt>
                <c:pt idx="3">
                  <c:v>3.341588502564305E-2</c:v>
                </c:pt>
                <c:pt idx="4">
                  <c:v>-1.3025382406999528E-2</c:v>
                </c:pt>
                <c:pt idx="5">
                  <c:v>-1.4390461448386545E-2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30-4209-9A45-29BD55D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9194352"/>
        <c:axId val="499189760"/>
      </c:barChart>
      <c:catAx>
        <c:axId val="49919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9189760"/>
        <c:crosses val="autoZero"/>
        <c:auto val="1"/>
        <c:lblAlgn val="ctr"/>
        <c:lblOffset val="100"/>
        <c:noMultiLvlLbl val="0"/>
      </c:catAx>
      <c:valAx>
        <c:axId val="49918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9194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'Sheet1 (1)'!$J$74</c:f>
              <c:strCache>
                <c:ptCount val="1"/>
                <c:pt idx="0">
                  <c:v>Industrial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'Sheet1 (1)'!$I$75:$I$81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'Sheet1 (1)'!$J$75:$J$81</c:f>
              <c:numCache>
                <c:formatCode>General</c:formatCode>
                <c:ptCount val="7"/>
                <c:pt idx="0">
                  <c:v>1.0865142565872763</c:v>
                </c:pt>
                <c:pt idx="1">
                  <c:v>1.0272204502471303</c:v>
                </c:pt>
                <c:pt idx="2">
                  <c:v>1.13308219496624</c:v>
                </c:pt>
                <c:pt idx="3">
                  <c:v>1.1247218268209056</c:v>
                </c:pt>
                <c:pt idx="4">
                  <c:v>1.9053867526361534</c:v>
                </c:pt>
                <c:pt idx="5">
                  <c:v>4.2783422568167344</c:v>
                </c:pt>
                <c:pt idx="6">
                  <c:v>7.2036812031911257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17-47C3-AF52-3A1E79DACE05}"/>
            </c:ext>
          </c:extLst>
        </c:ser>
        <c:ser>
          <c:idx val="1"/>
          <c:order val="1"/>
          <c:tx>
            <c:strRef>
              <c:f>'Sheet1 (1)'!$K$74</c:f>
              <c:strCache>
                <c:ptCount val="1"/>
                <c:pt idx="0">
                  <c:v>Residencial y comercial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'Sheet1 (1)'!$I$75:$I$81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'Sheet1 (1)'!$K$75:$K$81</c:f>
              <c:numCache>
                <c:formatCode>General</c:formatCode>
                <c:ptCount val="7"/>
                <c:pt idx="0">
                  <c:v>-0.16096507504996829</c:v>
                </c:pt>
                <c:pt idx="1">
                  <c:v>0</c:v>
                </c:pt>
                <c:pt idx="2">
                  <c:v>0.31286597920709619</c:v>
                </c:pt>
                <c:pt idx="3">
                  <c:v>0.42101886565488433</c:v>
                </c:pt>
                <c:pt idx="4">
                  <c:v>0.78605064052646589</c:v>
                </c:pt>
                <c:pt idx="5">
                  <c:v>1.6796454786021251</c:v>
                </c:pt>
                <c:pt idx="6">
                  <c:v>2.7319045240915503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17-47C3-AF52-3A1E79DAC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2363280"/>
        <c:axId val="312361640"/>
      </c:scatterChart>
      <c:valAx>
        <c:axId val="312363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12361640"/>
        <c:crosses val="autoZero"/>
        <c:crossBetween val="midCat"/>
      </c:valAx>
      <c:valAx>
        <c:axId val="312361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12363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'Sheet1 (1)'!$M$4</c:f>
              <c:strCache>
                <c:ptCount val="1"/>
                <c:pt idx="0">
                  <c:v>Escenario base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'Sheet1 (1)'!$L$5:$L$12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xVal>
          <c:yVal>
            <c:numRef>
              <c:f>'Sheet1 (1)'!$M$5:$M$12</c:f>
              <c:numCache>
                <c:formatCode>#,##0.0</c:formatCode>
                <c:ptCount val="8"/>
                <c:pt idx="0">
                  <c:v>895.49999999999989</c:v>
                </c:pt>
                <c:pt idx="1">
                  <c:v>998.8</c:v>
                </c:pt>
                <c:pt idx="2">
                  <c:v>1095.9000000000003</c:v>
                </c:pt>
                <c:pt idx="3">
                  <c:v>1202.8</c:v>
                </c:pt>
                <c:pt idx="4">
                  <c:v>1317.7000000000003</c:v>
                </c:pt>
                <c:pt idx="5">
                  <c:v>1432.1</c:v>
                </c:pt>
                <c:pt idx="6">
                  <c:v>1572.2</c:v>
                </c:pt>
                <c:pt idx="7">
                  <c:v>1667.1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2A8-4BB0-A43A-8BC12A11634D}"/>
            </c:ext>
          </c:extLst>
        </c:ser>
        <c:ser>
          <c:idx val="1"/>
          <c:order val="1"/>
          <c:tx>
            <c:strRef>
              <c:f>'Sheet1 (1)'!$N$4</c:f>
              <c:strCache>
                <c:ptCount val="1"/>
                <c:pt idx="0">
                  <c:v>Base con medidas de eficiencia energética del sector industrial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'Sheet1 (1)'!$L$5:$L$12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xVal>
          <c:yVal>
            <c:numRef>
              <c:f>'Sheet1 (1)'!$N$5:$N$12</c:f>
              <c:numCache>
                <c:formatCode>_(* #,##0.00_);_(* \(#,##0.00\);_(* "-"??_);_(@_)</c:formatCode>
                <c:ptCount val="8"/>
                <c:pt idx="0">
                  <c:v>877.60068365444374</c:v>
                </c:pt>
                <c:pt idx="1">
                  <c:v>968.59490366687385</c:v>
                </c:pt>
                <c:pt idx="2">
                  <c:v>1024.3027346177753</c:v>
                </c:pt>
                <c:pt idx="3">
                  <c:v>1052.8932256059666</c:v>
                </c:pt>
                <c:pt idx="4">
                  <c:v>1108.5017402113117</c:v>
                </c:pt>
                <c:pt idx="5">
                  <c:v>1093.1316967060284</c:v>
                </c:pt>
                <c:pt idx="6">
                  <c:v>1119.1235550031074</c:v>
                </c:pt>
                <c:pt idx="7">
                  <c:v>1139.0701678060907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2A8-4BB0-A43A-8BC12A116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3909448"/>
        <c:axId val="613907480"/>
      </c:scatterChart>
      <c:scatterChart>
        <c:scatterStyle val="smoothMarker"/>
        <c:varyColors val="0"/>
        <c:ser>
          <c:idx val="3"/>
          <c:order val="2"/>
          <c:tx>
            <c:strRef>
              <c:f>'Sheet1 (1)'!$P$4</c:f>
              <c:strCache>
                <c:ptCount val="1"/>
                <c:pt idx="0">
                  <c:v>Reducción respecto al escenario base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'Sheet1 (1)'!$L$6:$L$12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'Sheet1 (1)'!$P$6:$P$12</c:f>
              <c:numCache>
                <c:formatCode>0%</c:formatCode>
                <c:ptCount val="7"/>
                <c:pt idx="0">
                  <c:v>-3.0241385996321694E-2</c:v>
                </c:pt>
                <c:pt idx="1">
                  <c:v>-6.5331933006866516E-2</c:v>
                </c:pt>
                <c:pt idx="2">
                  <c:v>-0.12463150514967858</c:v>
                </c:pt>
                <c:pt idx="3">
                  <c:v>-0.15876015769043678</c:v>
                </c:pt>
                <c:pt idx="4">
                  <c:v>-0.23669318015080759</c:v>
                </c:pt>
                <c:pt idx="5">
                  <c:v>-0.28817990395426318</c:v>
                </c:pt>
                <c:pt idx="6">
                  <c:v>-0.31673554807384635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2A8-4BB0-A43A-8BC12A116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554392"/>
        <c:axId val="499189432"/>
      </c:scatterChart>
      <c:valAx>
        <c:axId val="613909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13907480"/>
        <c:crosses val="autoZero"/>
        <c:crossBetween val="midCat"/>
      </c:valAx>
      <c:valAx>
        <c:axId val="61390748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Demanda eléctrica nacional (PJ)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.0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13909448"/>
        <c:crosses val="autoZero"/>
        <c:crossBetween val="midCat"/>
        <c:majorUnit val="500"/>
        <c:minorUnit val="250"/>
      </c:valAx>
      <c:valAx>
        <c:axId val="499189432"/>
        <c:scaling>
          <c:orientation val="minMax"/>
          <c:min val="-0.4"/>
        </c:scaling>
        <c:delete val="0"/>
        <c:axPos val="r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Reducción respecto al escenario base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%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8554392"/>
        <c:crosses val="max"/>
        <c:crossBetween val="midCat"/>
        <c:majorUnit val="0.1"/>
        <c:minorUnit val="5.000000000000001E-2"/>
      </c:valAx>
      <c:valAx>
        <c:axId val="498554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9189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'Sheet1 (1)'!$M$44</c:f>
              <c:strCache>
                <c:ptCount val="1"/>
                <c:pt idx="0">
                  <c:v>Escenario base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'Sheet1 (1)'!$L$45:$L$52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xVal>
          <c:yVal>
            <c:numRef>
              <c:f>'Sheet1 (1)'!$M$45:$M$52</c:f>
              <c:numCache>
                <c:formatCode>#,##0.0</c:formatCode>
                <c:ptCount val="8"/>
                <c:pt idx="0">
                  <c:v>895.49999999999989</c:v>
                </c:pt>
                <c:pt idx="1">
                  <c:v>998.8</c:v>
                </c:pt>
                <c:pt idx="2">
                  <c:v>1095.9000000000003</c:v>
                </c:pt>
                <c:pt idx="3">
                  <c:v>1202.8</c:v>
                </c:pt>
                <c:pt idx="4">
                  <c:v>1317.7000000000003</c:v>
                </c:pt>
                <c:pt idx="5">
                  <c:v>1432.1</c:v>
                </c:pt>
                <c:pt idx="6">
                  <c:v>1572.2</c:v>
                </c:pt>
                <c:pt idx="7">
                  <c:v>1667.1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C17-48E6-BBE0-BA70592C064F}"/>
            </c:ext>
          </c:extLst>
        </c:ser>
        <c:ser>
          <c:idx val="1"/>
          <c:order val="1"/>
          <c:tx>
            <c:strRef>
              <c:f>'Sheet1 (1)'!$N$44</c:f>
              <c:strCache>
                <c:ptCount val="1"/>
                <c:pt idx="0">
                  <c:v>Base con reducción del sector industrial, comercial y residencial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'Sheet1 (1)'!$L$45:$L$52</c:f>
              <c:numCache>
                <c:formatCode>General</c:formatCode>
                <c:ptCount val="8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2040</c:v>
                </c:pt>
                <c:pt idx="6">
                  <c:v>2045</c:v>
                </c:pt>
                <c:pt idx="7">
                  <c:v>2050</c:v>
                </c:pt>
              </c:numCache>
            </c:numRef>
          </c:xVal>
          <c:yVal>
            <c:numRef>
              <c:f>'Sheet1 (1)'!$N$45:$N$52</c:f>
              <c:numCache>
                <c:formatCode>_(* #,##0.00_);_(* \(#,##0.00\);_(* "-"??_);_(@_)</c:formatCode>
                <c:ptCount val="8"/>
                <c:pt idx="0">
                  <c:v>886.55034182722193</c:v>
                </c:pt>
                <c:pt idx="1">
                  <c:v>973.06973275326288</c:v>
                </c:pt>
                <c:pt idx="2">
                  <c:v>982.91056556867647</c:v>
                </c:pt>
                <c:pt idx="3">
                  <c:v>1011.5010565568678</c:v>
                </c:pt>
                <c:pt idx="4">
                  <c:v>1030.1922311995031</c:v>
                </c:pt>
                <c:pt idx="5">
                  <c:v>953.29328775637032</c:v>
                </c:pt>
                <c:pt idx="6">
                  <c:v>941.24909881914232</c:v>
                </c:pt>
                <c:pt idx="7">
                  <c:v>938.82156619018019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C17-48E6-BBE0-BA70592C0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3909448"/>
        <c:axId val="613907480"/>
      </c:scatterChart>
      <c:scatterChart>
        <c:scatterStyle val="smoothMarker"/>
        <c:varyColors val="0"/>
        <c:ser>
          <c:idx val="3"/>
          <c:order val="2"/>
          <c:tx>
            <c:strRef>
              <c:f>'Sheet1 (1)'!$P$44</c:f>
              <c:strCache>
                <c:ptCount val="1"/>
                <c:pt idx="0">
                  <c:v>Reducción respecto al escenario base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</c:trendlineLbl>
          </c:trendline>
          <c:xVal>
            <c:numRef>
              <c:f>'Sheet1 (1)'!$L$46:$L$52</c:f>
              <c:numCache>
                <c:formatCode>General</c:formatCode>
                <c:ptCount val="7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  <c:pt idx="4">
                  <c:v>2040</c:v>
                </c:pt>
                <c:pt idx="5">
                  <c:v>2045</c:v>
                </c:pt>
                <c:pt idx="6">
                  <c:v>2050</c:v>
                </c:pt>
              </c:numCache>
            </c:numRef>
          </c:xVal>
          <c:yVal>
            <c:numRef>
              <c:f>'Sheet1 (1)'!$P$46:$P$52</c:f>
              <c:numCache>
                <c:formatCode>0%</c:formatCode>
                <c:ptCount val="7"/>
                <c:pt idx="0">
                  <c:v>-2.5761180663533313E-2</c:v>
                </c:pt>
                <c:pt idx="1">
                  <c:v>-0.10310195677646118</c:v>
                </c:pt>
                <c:pt idx="2">
                  <c:v>-0.15904468194473911</c:v>
                </c:pt>
                <c:pt idx="3">
                  <c:v>-0.21818909372429013</c:v>
                </c:pt>
                <c:pt idx="4">
                  <c:v>-0.33433888153315383</c:v>
                </c:pt>
                <c:pt idx="5">
                  <c:v>-0.40131719958075163</c:v>
                </c:pt>
                <c:pt idx="6">
                  <c:v>-0.43685347838151267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C17-48E6-BBE0-BA70592C0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554392"/>
        <c:axId val="499189432"/>
      </c:scatterChart>
      <c:valAx>
        <c:axId val="613909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13907480"/>
        <c:crosses val="autoZero"/>
        <c:crossBetween val="midCat"/>
      </c:valAx>
      <c:valAx>
        <c:axId val="61390748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Demanda eléctrica nacional (PJ)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,##0.0" sourceLinked="1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13909448"/>
        <c:crosses val="autoZero"/>
        <c:crossBetween val="midCat"/>
        <c:majorUnit val="500"/>
        <c:minorUnit val="250"/>
      </c:valAx>
      <c:valAx>
        <c:axId val="499189432"/>
        <c:scaling>
          <c:orientation val="minMax"/>
          <c:min val="-0.4"/>
        </c:scaling>
        <c:delete val="0"/>
        <c:axPos val="r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Reducción respecto al escenario base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%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98554392"/>
        <c:crosses val="max"/>
        <c:crossBetween val="midCat"/>
        <c:majorUnit val="0.1"/>
        <c:minorUnit val="5.000000000000001E-2"/>
      </c:valAx>
      <c:valAx>
        <c:axId val="498554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9189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'Metas eficiencia energetica'!$B$2:$E$2</c:f>
              <c:strCache>
                <c:ptCount val="4"/>
                <c:pt idx="0">
                  <c:v>Linea base para el estado de Chihuahua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'Metas eficiencia energetica'!$F$2:$Y$2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xVal>
          <c:yVal>
            <c:numRef>
              <c:f>'Metas eficiencia energetica'!$F$3:$Y$3</c:f>
              <c:numCache>
                <c:formatCode>_(* #,##0.00_);_(* \(#,##0.00\);_(* "-"??_);_(@_)</c:formatCode>
                <c:ptCount val="20"/>
                <c:pt idx="0">
                  <c:v>29717.490613996521</c:v>
                </c:pt>
                <c:pt idx="1">
                  <c:v>29893.679334214517</c:v>
                </c:pt>
                <c:pt idx="2">
                  <c:v>29879.726823456273</c:v>
                </c:pt>
                <c:pt idx="3">
                  <c:v>30652.015083478462</c:v>
                </c:pt>
                <c:pt idx="4">
                  <c:v>31008.664334096939</c:v>
                </c:pt>
                <c:pt idx="5">
                  <c:v>31550.223520031457</c:v>
                </c:pt>
                <c:pt idx="6">
                  <c:v>35537.536878738269</c:v>
                </c:pt>
                <c:pt idx="7">
                  <c:v>35961.440852659522</c:v>
                </c:pt>
                <c:pt idx="8">
                  <c:v>36853.393902859221</c:v>
                </c:pt>
                <c:pt idx="9">
                  <c:v>37398.300375625025</c:v>
                </c:pt>
                <c:pt idx="10">
                  <c:v>35288.533838023475</c:v>
                </c:pt>
                <c:pt idx="11">
                  <c:v>35891.33681487375</c:v>
                </c:pt>
                <c:pt idx="12">
                  <c:v>36539.648758461408</c:v>
                </c:pt>
                <c:pt idx="13">
                  <c:v>37258.05127058144</c:v>
                </c:pt>
                <c:pt idx="14">
                  <c:v>39642.755725023497</c:v>
                </c:pt>
                <c:pt idx="15">
                  <c:v>38621.05360466666</c:v>
                </c:pt>
                <c:pt idx="16">
                  <c:v>39454.366421301973</c:v>
                </c:pt>
                <c:pt idx="17">
                  <c:v>40367.697689396344</c:v>
                </c:pt>
                <c:pt idx="18">
                  <c:v>41345.714520318528</c:v>
                </c:pt>
                <c:pt idx="19">
                  <c:v>42344.286871363889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470-44CD-A16D-B76D48A498FD}"/>
            </c:ext>
          </c:extLst>
        </c:ser>
        <c:ser>
          <c:idx val="1"/>
          <c:order val="1"/>
          <c:tx>
            <c:strRef>
              <c:f>'Metas eficiencia energetica'!$B$28</c:f>
              <c:strCache>
                <c:ptCount val="1"/>
                <c:pt idx="0">
                  <c:v>Escenario base menos reducción por eficiencia energética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'Metas eficiencia energetica'!$L$23:$Y$23</c:f>
              <c:numCache>
                <c:formatCode>General</c:formatCode>
                <c:ptCount val="1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</c:numCache>
            </c:numRef>
          </c:xVal>
          <c:yVal>
            <c:numRef>
              <c:f>'Metas eficiencia energetica'!$L$29:$Y$29</c:f>
              <c:numCache>
                <c:formatCode>_(* #,##0.00_);_(* \(#,##0.00\);_(* "-"??_);_(@_)</c:formatCode>
                <c:ptCount val="14"/>
                <c:pt idx="0">
                  <c:v>35537.536878738269</c:v>
                </c:pt>
                <c:pt idx="1">
                  <c:v>35063.148263025396</c:v>
                </c:pt>
                <c:pt idx="2">
                  <c:v>35405.02726245841</c:v>
                </c:pt>
                <c:pt idx="3">
                  <c:v>35392.920983849501</c:v>
                </c:pt>
                <c:pt idx="4">
                  <c:v>32890.902168956192</c:v>
                </c:pt>
                <c:pt idx="5">
                  <c:v>32938.732892266198</c:v>
                </c:pt>
                <c:pt idx="6">
                  <c:v>33010.411016162136</c:v>
                </c:pt>
                <c:pt idx="7">
                  <c:v>33125.836585193036</c:v>
                </c:pt>
                <c:pt idx="8">
                  <c:v>34678.316977543458</c:v>
                </c:pt>
                <c:pt idx="9">
                  <c:v>33231.45291075662</c:v>
                </c:pt>
                <c:pt idx="10">
                  <c:v>33383.43288372465</c:v>
                </c:pt>
                <c:pt idx="11">
                  <c:v>33578.104227946009</c:v>
                </c:pt>
                <c:pt idx="12">
                  <c:v>33799.494601174862</c:v>
                </c:pt>
                <c:pt idx="13">
                  <c:v>34009.381197305716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470-44CD-A16D-B76D48A49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3050680"/>
        <c:axId val="653049040"/>
      </c:scatterChart>
      <c:valAx>
        <c:axId val="653050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53049040"/>
        <c:crosses val="autoZero"/>
        <c:crossBetween val="midCat"/>
      </c:valAx>
      <c:valAx>
        <c:axId val="653049040"/>
        <c:scaling>
          <c:orientation val="minMax"/>
          <c:min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Emisiones de gases de efecto invernadero (Gg CO</a:t>
                </a:r>
                <a:r>
                  <a:rPr lang="en-US" baseline="-25000"/>
                  <a:t>2</a:t>
                </a:r>
                <a:r>
                  <a:rPr lang="en-US"/>
                  <a:t>e)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_(* #,##0_);_(* \(#,##0\);_(* &quot;-&quot;_);_(@_)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53050680"/>
        <c:crosses val="autoZero"/>
        <c:crossBetween val="midCat"/>
        <c:majorUnit val="5000"/>
        <c:minorUnit val="2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5</xdr:rowOff>
    </xdr:from>
    <xdr:to>
      <xdr:col>18</xdr:col>
      <xdr:colOff>224118</xdr:colOff>
      <xdr:row>20</xdr:row>
      <xdr:rowOff>134470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108A4C1-8D55-460E-B36C-61B3DEE469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22</xdr:row>
      <xdr:rowOff>0</xdr:rowOff>
    </xdr:from>
    <xdr:to>
      <xdr:col>18</xdr:col>
      <xdr:colOff>224118</xdr:colOff>
      <xdr:row>39</xdr:row>
      <xdr:rowOff>134465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ECAF1196-E0A1-459C-9D56-191B8DAE2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134470</xdr:colOff>
      <xdr:row>2</xdr:row>
      <xdr:rowOff>152400</xdr:rowOff>
    </xdr:from>
    <xdr:to>
      <xdr:col>20</xdr:col>
      <xdr:colOff>358588</xdr:colOff>
      <xdr:row>19</xdr:row>
      <xdr:rowOff>161359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2C8C71-550C-4F12-BAA3-C8848F890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107577</xdr:colOff>
      <xdr:row>3</xdr:row>
      <xdr:rowOff>62753</xdr:rowOff>
    </xdr:from>
    <xdr:to>
      <xdr:col>21</xdr:col>
      <xdr:colOff>475130</xdr:colOff>
      <xdr:row>21</xdr:row>
      <xdr:rowOff>17924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49718A2-C4F5-4372-838B-57F99F4E5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500742</xdr:colOff>
      <xdr:row>30</xdr:row>
      <xdr:rowOff>0</xdr:rowOff>
    </xdr:from>
    <xdr:to>
      <xdr:col>25</xdr:col>
      <xdr:colOff>97971</xdr:colOff>
      <xdr:row>51</xdr:row>
      <xdr:rowOff>97972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D887A03-6B9D-409F-80BE-E5C9F925B7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400050</xdr:colOff>
      <xdr:row>72</xdr:row>
      <xdr:rowOff>95250</xdr:rowOff>
    </xdr:from>
    <xdr:to>
      <xdr:col>18</xdr:col>
      <xdr:colOff>133350</xdr:colOff>
      <xdr:row>87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A28C65-21A0-4D40-B12E-1C96818272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542924</xdr:colOff>
      <xdr:row>2</xdr:row>
      <xdr:rowOff>23813</xdr:rowOff>
    </xdr:from>
    <xdr:to>
      <xdr:col>27</xdr:col>
      <xdr:colOff>512617</xdr:colOff>
      <xdr:row>17</xdr:row>
      <xdr:rowOff>52388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0646D91-95EB-4959-81A3-7B84873091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42</xdr:row>
      <xdr:rowOff>0</xdr:rowOff>
    </xdr:from>
    <xdr:to>
      <xdr:col>27</xdr:col>
      <xdr:colOff>579293</xdr:colOff>
      <xdr:row>57</xdr:row>
      <xdr:rowOff>28576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76A1CA8-68DB-4D82-9C1D-FFFFBDFDEB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0.6445</cdr:x>
      <cdr:y>0.12068</cdr:y>
    </cdr:from>
    <cdr:to>
      <cdr:x>0.71306</cdr:x>
      <cdr:y>0.1765</cdr:y>
    </cdr:to>
    <cdr:sp macro="" textlink="">
      <cdr:nvSpPr>
        <cdr:cNvPr id="2" name="Arrow: Left 1">
          <a:extLst xmlns:a="http://schemas.openxmlformats.org/drawingml/2006/main">
            <a:ext uri="{FF2B5EF4-FFF2-40B4-BE49-F238E27FC236}">
              <a16:creationId xmlns:a16="http://schemas.microsoft.com/office/drawing/2014/main" id="{9EAFBF41-3A81-486F-AD9F-795A0C593FAD}"/>
            </a:ext>
          </a:extLst>
        </cdr:cNvPr>
        <cdr:cNvSpPr/>
      </cdr:nvSpPr>
      <cdr:spPr>
        <a:xfrm xmlns:a="http://schemas.openxmlformats.org/drawingml/2006/main">
          <a:off x="3516458" y="329478"/>
          <a:ext cx="374072" cy="152400"/>
        </a:xfrm>
        <a:prstGeom xmlns:a="http://schemas.openxmlformats.org/drawingml/2006/main" prst="leftArrow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MX"/>
        </a:p>
      </cdr:txBody>
    </cdr:sp>
  </cdr:relSizeAnchor>
  <cdr:relSizeAnchor xmlns:cdr="http://schemas.openxmlformats.org/drawingml/2006/chartDrawing">
    <cdr:from>
      <cdr:x>0.69111</cdr:x>
      <cdr:y>0.32054</cdr:y>
    </cdr:from>
    <cdr:to>
      <cdr:x>0.75967</cdr:x>
      <cdr:y>0.37636</cdr:y>
    </cdr:to>
    <cdr:sp macro="" textlink="">
      <cdr:nvSpPr>
        <cdr:cNvPr id="3" name="Arrow: Left 2">
          <a:extLst xmlns:a="http://schemas.openxmlformats.org/drawingml/2006/main">
            <a:ext uri="{FF2B5EF4-FFF2-40B4-BE49-F238E27FC236}">
              <a16:creationId xmlns:a16="http://schemas.microsoft.com/office/drawing/2014/main" id="{D09A93A2-DD99-4B9B-9C1B-AECA4135C2F7}"/>
            </a:ext>
          </a:extLst>
        </cdr:cNvPr>
        <cdr:cNvSpPr/>
      </cdr:nvSpPr>
      <cdr:spPr>
        <a:xfrm xmlns:a="http://schemas.openxmlformats.org/drawingml/2006/main">
          <a:off x="3770746" y="875145"/>
          <a:ext cx="374072" cy="152400"/>
        </a:xfrm>
        <a:prstGeom xmlns:a="http://schemas.openxmlformats.org/drawingml/2006/main" prst="leftArrow">
          <a:avLst/>
        </a:prstGeom>
      </cdr:spPr>
      <cdr:style>
        <a:lnRef xmlns:a="http://schemas.openxmlformats.org/drawingml/2006/main" idx="2">
          <a:schemeClr val="accent2">
            <a:shade val="50000"/>
          </a:schemeClr>
        </a:lnRef>
        <a:fillRef xmlns:a="http://schemas.openxmlformats.org/drawingml/2006/main" idx="1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MX"/>
        </a:p>
      </cdr:txBody>
    </cdr:sp>
  </cdr:relSizeAnchor>
  <cdr:relSizeAnchor xmlns:cdr="http://schemas.openxmlformats.org/drawingml/2006/chartDrawing">
    <cdr:from>
      <cdr:x>0.40163</cdr:x>
      <cdr:y>0.13278</cdr:y>
    </cdr:from>
    <cdr:to>
      <cdr:x>0.47019</cdr:x>
      <cdr:y>0.1886</cdr:y>
    </cdr:to>
    <cdr:sp macro="" textlink="">
      <cdr:nvSpPr>
        <cdr:cNvPr id="4" name="Arrow: Left 3">
          <a:extLst xmlns:a="http://schemas.openxmlformats.org/drawingml/2006/main">
            <a:ext uri="{FF2B5EF4-FFF2-40B4-BE49-F238E27FC236}">
              <a16:creationId xmlns:a16="http://schemas.microsoft.com/office/drawing/2014/main" id="{591B0141-C742-4C84-9D4C-10CBCFCEC0B1}"/>
            </a:ext>
          </a:extLst>
        </cdr:cNvPr>
        <cdr:cNvSpPr/>
      </cdr:nvSpPr>
      <cdr:spPr>
        <a:xfrm xmlns:a="http://schemas.openxmlformats.org/drawingml/2006/main" flipH="1">
          <a:off x="2191327" y="362527"/>
          <a:ext cx="374072" cy="152400"/>
        </a:xfrm>
        <a:prstGeom xmlns:a="http://schemas.openxmlformats.org/drawingml/2006/main" prst="leftArrow">
          <a:avLst/>
        </a:prstGeom>
      </cdr:spPr>
      <cdr:style>
        <a:lnRef xmlns:a="http://schemas.openxmlformats.org/drawingml/2006/main" idx="2">
          <a:schemeClr val="accent4">
            <a:shade val="50000"/>
          </a:schemeClr>
        </a:lnRef>
        <a:fillRef xmlns:a="http://schemas.openxmlformats.org/drawingml/2006/main" idx="1">
          <a:schemeClr val="accent4"/>
        </a:fillRef>
        <a:effectRef xmlns:a="http://schemas.openxmlformats.org/drawingml/2006/main" idx="0">
          <a:schemeClr val="accent4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MX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0.6445</cdr:x>
      <cdr:y>0.12068</cdr:y>
    </cdr:from>
    <cdr:to>
      <cdr:x>0.71306</cdr:x>
      <cdr:y>0.1765</cdr:y>
    </cdr:to>
    <cdr:sp macro="" textlink="">
      <cdr:nvSpPr>
        <cdr:cNvPr id="2" name="Arrow: Left 1">
          <a:extLst xmlns:a="http://schemas.openxmlformats.org/drawingml/2006/main">
            <a:ext uri="{FF2B5EF4-FFF2-40B4-BE49-F238E27FC236}">
              <a16:creationId xmlns:a16="http://schemas.microsoft.com/office/drawing/2014/main" id="{9EAFBF41-3A81-486F-AD9F-795A0C593FAD}"/>
            </a:ext>
          </a:extLst>
        </cdr:cNvPr>
        <cdr:cNvSpPr/>
      </cdr:nvSpPr>
      <cdr:spPr>
        <a:xfrm xmlns:a="http://schemas.openxmlformats.org/drawingml/2006/main">
          <a:off x="3516458" y="329478"/>
          <a:ext cx="374072" cy="152400"/>
        </a:xfrm>
        <a:prstGeom xmlns:a="http://schemas.openxmlformats.org/drawingml/2006/main" prst="leftArrow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MX"/>
        </a:p>
      </cdr:txBody>
    </cdr:sp>
  </cdr:relSizeAnchor>
  <cdr:relSizeAnchor xmlns:cdr="http://schemas.openxmlformats.org/drawingml/2006/chartDrawing">
    <cdr:from>
      <cdr:x>0.69111</cdr:x>
      <cdr:y>0.32054</cdr:y>
    </cdr:from>
    <cdr:to>
      <cdr:x>0.75967</cdr:x>
      <cdr:y>0.37636</cdr:y>
    </cdr:to>
    <cdr:sp macro="" textlink="">
      <cdr:nvSpPr>
        <cdr:cNvPr id="3" name="Arrow: Left 2">
          <a:extLst xmlns:a="http://schemas.openxmlformats.org/drawingml/2006/main">
            <a:ext uri="{FF2B5EF4-FFF2-40B4-BE49-F238E27FC236}">
              <a16:creationId xmlns:a16="http://schemas.microsoft.com/office/drawing/2014/main" id="{D09A93A2-DD99-4B9B-9C1B-AECA4135C2F7}"/>
            </a:ext>
          </a:extLst>
        </cdr:cNvPr>
        <cdr:cNvSpPr/>
      </cdr:nvSpPr>
      <cdr:spPr>
        <a:xfrm xmlns:a="http://schemas.openxmlformats.org/drawingml/2006/main">
          <a:off x="3770746" y="875145"/>
          <a:ext cx="374072" cy="152400"/>
        </a:xfrm>
        <a:prstGeom xmlns:a="http://schemas.openxmlformats.org/drawingml/2006/main" prst="leftArrow">
          <a:avLst/>
        </a:prstGeom>
      </cdr:spPr>
      <cdr:style>
        <a:lnRef xmlns:a="http://schemas.openxmlformats.org/drawingml/2006/main" idx="2">
          <a:schemeClr val="accent2">
            <a:shade val="50000"/>
          </a:schemeClr>
        </a:lnRef>
        <a:fillRef xmlns:a="http://schemas.openxmlformats.org/drawingml/2006/main" idx="1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MX"/>
        </a:p>
      </cdr:txBody>
    </cdr:sp>
  </cdr:relSizeAnchor>
  <cdr:relSizeAnchor xmlns:cdr="http://schemas.openxmlformats.org/drawingml/2006/chartDrawing">
    <cdr:from>
      <cdr:x>0.40163</cdr:x>
      <cdr:y>0.13278</cdr:y>
    </cdr:from>
    <cdr:to>
      <cdr:x>0.47019</cdr:x>
      <cdr:y>0.1886</cdr:y>
    </cdr:to>
    <cdr:sp macro="" textlink="">
      <cdr:nvSpPr>
        <cdr:cNvPr id="4" name="Arrow: Left 3">
          <a:extLst xmlns:a="http://schemas.openxmlformats.org/drawingml/2006/main">
            <a:ext uri="{FF2B5EF4-FFF2-40B4-BE49-F238E27FC236}">
              <a16:creationId xmlns:a16="http://schemas.microsoft.com/office/drawing/2014/main" id="{591B0141-C742-4C84-9D4C-10CBCFCEC0B1}"/>
            </a:ext>
          </a:extLst>
        </cdr:cNvPr>
        <cdr:cNvSpPr/>
      </cdr:nvSpPr>
      <cdr:spPr>
        <a:xfrm xmlns:a="http://schemas.openxmlformats.org/drawingml/2006/main" flipH="1">
          <a:off x="2191327" y="362527"/>
          <a:ext cx="374072" cy="152400"/>
        </a:xfrm>
        <a:prstGeom xmlns:a="http://schemas.openxmlformats.org/drawingml/2006/main" prst="leftArrow">
          <a:avLst/>
        </a:prstGeom>
      </cdr:spPr>
      <cdr:style>
        <a:lnRef xmlns:a="http://schemas.openxmlformats.org/drawingml/2006/main" idx="2">
          <a:schemeClr val="accent4">
            <a:shade val="50000"/>
          </a:schemeClr>
        </a:lnRef>
        <a:fillRef xmlns:a="http://schemas.openxmlformats.org/drawingml/2006/main" idx="1">
          <a:schemeClr val="accent4"/>
        </a:fillRef>
        <a:effectRef xmlns:a="http://schemas.openxmlformats.org/drawingml/2006/main" idx="0">
          <a:schemeClr val="accent4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MX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30</xdr:row>
      <xdr:rowOff>91807</xdr:rowOff>
    </xdr:from>
    <xdr:to>
      <xdr:col>13</xdr:col>
      <xdr:colOff>817084</xdr:colOff>
      <xdr:row>50</xdr:row>
      <xdr:rowOff>183613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249142-C620-4C6A-9113-A671376506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1845-6C42-45F9-9DCF-6FADF30FB542}">
  <dimension ref="A2:L35"/>
  <sheetViews>
    <sheetView topLeftCell="A25" zoomScaleNormal="100" workbookViewId="0">
      <selection activeCell="C4" sqref="C4:C34"/>
    </sheetView>
  </sheetViews>
  <sheetFormatPr defaultRowHeight="14.4" x14ac:dyDescent="0.3"/>
  <cols>
    <col min="2" max="2" width="12.109375" customWidth="1"/>
    <col min="3" max="5" width="8.88671875" customWidth="1"/>
    <col min="6" max="7" width="16" customWidth="1"/>
    <col min="8" max="8" width="17.5546875" customWidth="1"/>
  </cols>
  <sheetData>
    <row r="2" spans="1:12" x14ac:dyDescent="0.3">
      <c r="C2" s="69" t="s">
        <v>2</v>
      </c>
      <c r="D2" s="69"/>
      <c r="E2" s="1"/>
      <c r="F2" s="69" t="s">
        <v>3</v>
      </c>
      <c r="G2" s="69"/>
      <c r="H2" s="70" t="s">
        <v>4</v>
      </c>
    </row>
    <row r="3" spans="1:12" x14ac:dyDescent="0.3">
      <c r="A3" t="s">
        <v>11</v>
      </c>
      <c r="B3" t="s">
        <v>12</v>
      </c>
      <c r="C3" t="s">
        <v>1</v>
      </c>
      <c r="D3" t="s">
        <v>0</v>
      </c>
      <c r="F3" t="s">
        <v>1</v>
      </c>
      <c r="G3" t="s">
        <v>0</v>
      </c>
      <c r="H3" s="70"/>
      <c r="I3" s="69"/>
      <c r="J3" s="69"/>
      <c r="K3" s="69"/>
      <c r="L3" s="69"/>
    </row>
    <row r="4" spans="1:12" x14ac:dyDescent="0.3">
      <c r="B4" s="3" t="s">
        <v>5</v>
      </c>
      <c r="C4">
        <v>15.71</v>
      </c>
      <c r="D4">
        <v>1800</v>
      </c>
      <c r="F4">
        <v>15.94</v>
      </c>
      <c r="G4">
        <v>1800</v>
      </c>
    </row>
    <row r="5" spans="1:12" x14ac:dyDescent="0.3">
      <c r="A5">
        <v>2015</v>
      </c>
      <c r="B5" t="s">
        <v>7</v>
      </c>
      <c r="C5">
        <v>1.72</v>
      </c>
      <c r="D5" s="4">
        <f t="shared" ref="D5:D34" si="0">$D$4*C5/$C$4</f>
        <v>197.07192870782939</v>
      </c>
      <c r="F5">
        <v>1.76</v>
      </c>
      <c r="G5" s="4">
        <f t="shared" ref="G5:G34" si="1">$G$4*F5/$F$4</f>
        <v>198.74529485570892</v>
      </c>
      <c r="H5" s="2">
        <f t="shared" ref="H5:H9" si="2">(G5-D5)/D5</f>
        <v>8.4911441160166294E-3</v>
      </c>
    </row>
    <row r="6" spans="1:12" x14ac:dyDescent="0.3">
      <c r="A6">
        <v>2015</v>
      </c>
      <c r="B6" t="s">
        <v>8</v>
      </c>
      <c r="C6">
        <v>0.61</v>
      </c>
      <c r="D6" s="4">
        <f t="shared" si="0"/>
        <v>69.891788669637165</v>
      </c>
      <c r="F6">
        <v>0.72</v>
      </c>
      <c r="G6" s="4">
        <f t="shared" si="1"/>
        <v>81.304893350062741</v>
      </c>
      <c r="H6" s="2">
        <f t="shared" si="2"/>
        <v>0.16329678918896706</v>
      </c>
    </row>
    <row r="7" spans="1:12" x14ac:dyDescent="0.3">
      <c r="A7">
        <v>2015</v>
      </c>
      <c r="B7" t="s">
        <v>6</v>
      </c>
      <c r="C7">
        <v>4.76</v>
      </c>
      <c r="D7" s="4">
        <f>$D$4*C7/$C$4</f>
        <v>545.38510502864415</v>
      </c>
      <c r="F7">
        <v>5.74</v>
      </c>
      <c r="G7" s="4">
        <f>$G$4*F7/$F$4</f>
        <v>648.18067754077799</v>
      </c>
      <c r="H7" s="2">
        <f>(G7-D7)/D7</f>
        <v>0.18848254483725757</v>
      </c>
    </row>
    <row r="8" spans="1:12" x14ac:dyDescent="0.3">
      <c r="A8">
        <v>2015</v>
      </c>
      <c r="B8" t="s">
        <v>9</v>
      </c>
      <c r="C8">
        <v>0.2</v>
      </c>
      <c r="D8" s="4">
        <f t="shared" si="0"/>
        <v>22.915340547422023</v>
      </c>
      <c r="F8">
        <v>0.24</v>
      </c>
      <c r="G8" s="4">
        <f t="shared" si="1"/>
        <v>27.101631116687578</v>
      </c>
      <c r="H8" s="2">
        <f t="shared" si="2"/>
        <v>0.18268506900878298</v>
      </c>
    </row>
    <row r="9" spans="1:12" x14ac:dyDescent="0.3">
      <c r="A9">
        <v>2015</v>
      </c>
      <c r="B9" t="s">
        <v>10</v>
      </c>
      <c r="C9">
        <v>0.43</v>
      </c>
      <c r="D9" s="4">
        <f t="shared" si="0"/>
        <v>49.267982176957346</v>
      </c>
      <c r="F9">
        <v>0.43</v>
      </c>
      <c r="G9" s="4">
        <f t="shared" si="1"/>
        <v>48.557089084065247</v>
      </c>
      <c r="H9" s="2">
        <f t="shared" si="2"/>
        <v>-1.4429109159347402E-2</v>
      </c>
    </row>
    <row r="10" spans="1:12" x14ac:dyDescent="0.3">
      <c r="A10">
        <v>2020</v>
      </c>
      <c r="B10" t="s">
        <v>7</v>
      </c>
      <c r="C10">
        <v>1.82</v>
      </c>
      <c r="D10" s="4">
        <f t="shared" si="0"/>
        <v>208.5295989815404</v>
      </c>
      <c r="F10">
        <v>1.89</v>
      </c>
      <c r="G10" s="4">
        <f t="shared" si="1"/>
        <v>213.42534504391469</v>
      </c>
      <c r="H10" s="2">
        <f t="shared" ref="H10:H14" si="3">(G10-D10)/D10</f>
        <v>2.3477463565293052E-2</v>
      </c>
    </row>
    <row r="11" spans="1:12" x14ac:dyDescent="0.3">
      <c r="A11">
        <v>2020</v>
      </c>
      <c r="B11" t="s">
        <v>8</v>
      </c>
      <c r="C11">
        <v>0.46</v>
      </c>
      <c r="D11" s="4">
        <f t="shared" si="0"/>
        <v>52.705283259070654</v>
      </c>
      <c r="F11">
        <v>0.49</v>
      </c>
      <c r="G11" s="4">
        <f t="shared" si="1"/>
        <v>55.332496863237139</v>
      </c>
      <c r="H11" s="2">
        <f t="shared" si="3"/>
        <v>4.9847253286781981E-2</v>
      </c>
    </row>
    <row r="12" spans="1:12" x14ac:dyDescent="0.3">
      <c r="A12">
        <v>2020</v>
      </c>
      <c r="B12" t="s">
        <v>6</v>
      </c>
      <c r="C12">
        <v>5.58</v>
      </c>
      <c r="D12" s="4">
        <f>$D$4*C12/$C$4</f>
        <v>639.3380012730745</v>
      </c>
      <c r="F12">
        <v>5.39</v>
      </c>
      <c r="G12" s="4">
        <f>$G$4*F12/$F$4</f>
        <v>608.65746549560856</v>
      </c>
      <c r="H12" s="2">
        <f>(G12-D12)/D12</f>
        <v>-4.7987974618079431E-2</v>
      </c>
    </row>
    <row r="13" spans="1:12" x14ac:dyDescent="0.3">
      <c r="A13">
        <v>2020</v>
      </c>
      <c r="B13" t="s">
        <v>9</v>
      </c>
      <c r="C13">
        <v>0.21</v>
      </c>
      <c r="D13" s="4">
        <f t="shared" si="0"/>
        <v>24.061107574793123</v>
      </c>
      <c r="F13">
        <v>0.21</v>
      </c>
      <c r="G13" s="4">
        <f t="shared" si="1"/>
        <v>23.713927227101632</v>
      </c>
      <c r="H13" s="2">
        <f t="shared" si="3"/>
        <v>-1.4429109159347435E-2</v>
      </c>
    </row>
    <row r="14" spans="1:12" x14ac:dyDescent="0.3">
      <c r="A14">
        <v>2020</v>
      </c>
      <c r="B14" t="s">
        <v>10</v>
      </c>
      <c r="C14">
        <v>0.57999999999999996</v>
      </c>
      <c r="D14" s="4">
        <f t="shared" si="0"/>
        <v>66.454487587523872</v>
      </c>
      <c r="F14">
        <v>0.5</v>
      </c>
      <c r="G14" s="4">
        <f t="shared" si="1"/>
        <v>56.461731493099123</v>
      </c>
      <c r="H14" s="2">
        <f t="shared" si="3"/>
        <v>-0.15036992168909272</v>
      </c>
    </row>
    <row r="15" spans="1:12" x14ac:dyDescent="0.3">
      <c r="A15">
        <v>2025</v>
      </c>
      <c r="B15" t="s">
        <v>7</v>
      </c>
      <c r="C15">
        <v>1.98</v>
      </c>
      <c r="D15" s="4">
        <f t="shared" si="0"/>
        <v>226.86187141947804</v>
      </c>
      <c r="F15">
        <v>1.93</v>
      </c>
      <c r="G15" s="4">
        <f t="shared" si="1"/>
        <v>217.94228356336262</v>
      </c>
      <c r="H15" s="2">
        <f t="shared" ref="H15:H19" si="4">(G15-D15)/D15</f>
        <v>-3.9317262968454864E-2</v>
      </c>
    </row>
    <row r="16" spans="1:12" x14ac:dyDescent="0.3">
      <c r="A16">
        <v>2025</v>
      </c>
      <c r="B16" t="s">
        <v>8</v>
      </c>
      <c r="C16">
        <v>0.41</v>
      </c>
      <c r="D16" s="4">
        <f t="shared" si="0"/>
        <v>46.976448122215146</v>
      </c>
      <c r="F16">
        <v>0.43</v>
      </c>
      <c r="G16" s="4">
        <f t="shared" si="1"/>
        <v>48.557089084065247</v>
      </c>
      <c r="H16" s="2">
        <f t="shared" si="4"/>
        <v>3.364751966214781E-2</v>
      </c>
    </row>
    <row r="17" spans="1:8" x14ac:dyDescent="0.3">
      <c r="A17">
        <v>2025</v>
      </c>
      <c r="B17" t="s">
        <v>6</v>
      </c>
      <c r="C17">
        <v>6.22</v>
      </c>
      <c r="D17" s="4">
        <f>$D$4*C17/$C$4</f>
        <v>712.66709102482491</v>
      </c>
      <c r="F17">
        <v>5.64</v>
      </c>
      <c r="G17" s="4">
        <f>$G$4*F17/$F$4</f>
        <v>636.88833124215807</v>
      </c>
      <c r="H17" s="2">
        <f>(G17-D17)/D17</f>
        <v>-0.10633121795156271</v>
      </c>
    </row>
    <row r="18" spans="1:8" x14ac:dyDescent="0.3">
      <c r="A18">
        <v>2025</v>
      </c>
      <c r="B18" t="s">
        <v>9</v>
      </c>
      <c r="C18">
        <v>0.28000000000000003</v>
      </c>
      <c r="D18" s="4">
        <f t="shared" si="0"/>
        <v>32.081476766390836</v>
      </c>
      <c r="F18">
        <v>0.26</v>
      </c>
      <c r="G18" s="4">
        <f t="shared" si="1"/>
        <v>29.360100376411545</v>
      </c>
      <c r="H18" s="2">
        <f t="shared" si="4"/>
        <v>-8.4827029933679882E-2</v>
      </c>
    </row>
    <row r="19" spans="1:8" x14ac:dyDescent="0.3">
      <c r="A19">
        <v>2025</v>
      </c>
      <c r="B19" t="s">
        <v>10</v>
      </c>
      <c r="C19">
        <v>0.56999999999999995</v>
      </c>
      <c r="D19" s="4">
        <f t="shared" si="0"/>
        <v>65.308720560152764</v>
      </c>
      <c r="F19">
        <v>0.56999999999999995</v>
      </c>
      <c r="G19" s="4">
        <f t="shared" si="1"/>
        <v>64.366373902133006</v>
      </c>
      <c r="H19" s="2">
        <f t="shared" si="4"/>
        <v>-1.4429109159347373E-2</v>
      </c>
    </row>
    <row r="20" spans="1:8" x14ac:dyDescent="0.3">
      <c r="A20">
        <v>2030</v>
      </c>
      <c r="B20" t="s">
        <v>7</v>
      </c>
      <c r="C20">
        <v>2.11</v>
      </c>
      <c r="D20" s="4">
        <f t="shared" si="0"/>
        <v>241.75684277530235</v>
      </c>
      <c r="F20">
        <v>1.93</v>
      </c>
      <c r="G20" s="4">
        <f t="shared" si="1"/>
        <v>217.94228356336262</v>
      </c>
      <c r="H20" s="2">
        <f t="shared" ref="H20:H24" si="5">(G20-D20)/D20</f>
        <v>-9.8506246766606922E-2</v>
      </c>
    </row>
    <row r="21" spans="1:8" x14ac:dyDescent="0.3">
      <c r="A21">
        <v>2030</v>
      </c>
      <c r="B21" t="s">
        <v>8</v>
      </c>
      <c r="C21">
        <v>0.49</v>
      </c>
      <c r="D21" s="4">
        <f t="shared" si="0"/>
        <v>56.142584341183955</v>
      </c>
      <c r="F21">
        <v>0.35</v>
      </c>
      <c r="G21" s="4">
        <f t="shared" si="1"/>
        <v>39.523212045169387</v>
      </c>
      <c r="H21" s="2">
        <f t="shared" si="5"/>
        <v>-0.29602079225667671</v>
      </c>
    </row>
    <row r="22" spans="1:8" x14ac:dyDescent="0.3">
      <c r="A22">
        <v>2030</v>
      </c>
      <c r="B22" t="s">
        <v>6</v>
      </c>
      <c r="C22">
        <v>6.95</v>
      </c>
      <c r="D22" s="4">
        <f>$D$4*C22/$C$4</f>
        <v>796.3080840229153</v>
      </c>
      <c r="F22">
        <v>5.74</v>
      </c>
      <c r="G22" s="4">
        <f>$G$4*F22/$F$4</f>
        <v>648.18067754077799</v>
      </c>
      <c r="H22" s="2">
        <f>(G22-D22)/D22</f>
        <v>-0.18601771029851136</v>
      </c>
    </row>
    <row r="23" spans="1:8" x14ac:dyDescent="0.3">
      <c r="A23">
        <v>2030</v>
      </c>
      <c r="B23" t="s">
        <v>9</v>
      </c>
      <c r="C23">
        <v>0.31</v>
      </c>
      <c r="D23" s="4">
        <f t="shared" si="0"/>
        <v>35.518777848504136</v>
      </c>
      <c r="F23">
        <v>0.26</v>
      </c>
      <c r="G23" s="4">
        <f t="shared" si="1"/>
        <v>29.360100376411545</v>
      </c>
      <c r="H23" s="2">
        <f t="shared" si="5"/>
        <v>-0.17339215606913014</v>
      </c>
    </row>
    <row r="24" spans="1:8" x14ac:dyDescent="0.3">
      <c r="A24">
        <v>2030</v>
      </c>
      <c r="B24" t="s">
        <v>10</v>
      </c>
      <c r="C24">
        <v>0.53</v>
      </c>
      <c r="D24" s="4">
        <f t="shared" si="0"/>
        <v>60.725652450668363</v>
      </c>
      <c r="F24">
        <v>0.63</v>
      </c>
      <c r="G24" s="4">
        <f t="shared" si="1"/>
        <v>71.141781681304892</v>
      </c>
      <c r="H24" s="2">
        <f t="shared" si="5"/>
        <v>0.17152766269737932</v>
      </c>
    </row>
    <row r="25" spans="1:8" x14ac:dyDescent="0.3">
      <c r="A25">
        <v>2040</v>
      </c>
      <c r="B25" t="s">
        <v>7</v>
      </c>
      <c r="C25">
        <v>2.33</v>
      </c>
      <c r="D25" s="4">
        <f t="shared" si="0"/>
        <v>266.96371737746659</v>
      </c>
      <c r="F25">
        <v>1.69</v>
      </c>
      <c r="G25" s="4">
        <f t="shared" si="1"/>
        <v>190.84065244667505</v>
      </c>
      <c r="H25" s="2">
        <f t="shared" ref="H25:H29" si="6">(G25-D25)/D25</f>
        <v>-0.28514386029154387</v>
      </c>
    </row>
    <row r="26" spans="1:8" x14ac:dyDescent="0.3">
      <c r="A26">
        <v>2040</v>
      </c>
      <c r="B26" t="s">
        <v>8</v>
      </c>
      <c r="C26">
        <v>0.52</v>
      </c>
      <c r="D26" s="4">
        <f t="shared" si="0"/>
        <v>59.579885423297263</v>
      </c>
      <c r="F26">
        <v>0</v>
      </c>
      <c r="G26" s="4">
        <f t="shared" si="1"/>
        <v>0</v>
      </c>
      <c r="H26" s="2">
        <f t="shared" si="6"/>
        <v>-1</v>
      </c>
    </row>
    <row r="27" spans="1:8" x14ac:dyDescent="0.3">
      <c r="A27">
        <v>2040</v>
      </c>
      <c r="B27" t="s">
        <v>6</v>
      </c>
      <c r="C27">
        <v>8.4600000000000009</v>
      </c>
      <c r="D27" s="4">
        <f>$D$4*C27/$C$4</f>
        <v>969.31890515595171</v>
      </c>
      <c r="F27">
        <v>5.55</v>
      </c>
      <c r="G27" s="4">
        <f>$G$4*F27/$F$4</f>
        <v>626.7252195734003</v>
      </c>
      <c r="H27" s="2">
        <f>(G27-D27)/D27</f>
        <v>-0.35343753615063583</v>
      </c>
    </row>
    <row r="28" spans="1:8" x14ac:dyDescent="0.3">
      <c r="A28">
        <v>2040</v>
      </c>
      <c r="B28" t="s">
        <v>9</v>
      </c>
      <c r="C28">
        <v>0.37</v>
      </c>
      <c r="D28" s="4">
        <f t="shared" si="0"/>
        <v>42.393380012730745</v>
      </c>
      <c r="F28">
        <v>0.43</v>
      </c>
      <c r="G28" s="4">
        <f t="shared" si="1"/>
        <v>48.557089084065247</v>
      </c>
      <c r="H28" s="2">
        <f t="shared" si="6"/>
        <v>0.14539319746346099</v>
      </c>
    </row>
    <row r="29" spans="1:8" x14ac:dyDescent="0.3">
      <c r="A29">
        <v>2040</v>
      </c>
      <c r="B29" t="s">
        <v>10</v>
      </c>
      <c r="C29">
        <v>0.65</v>
      </c>
      <c r="D29" s="4">
        <f t="shared" si="0"/>
        <v>74.474856779121581</v>
      </c>
      <c r="F29">
        <v>0.65</v>
      </c>
      <c r="G29" s="4">
        <f t="shared" si="1"/>
        <v>73.400250941028858</v>
      </c>
      <c r="H29" s="2">
        <f t="shared" si="6"/>
        <v>-1.4429109159347579E-2</v>
      </c>
    </row>
    <row r="30" spans="1:8" x14ac:dyDescent="0.3">
      <c r="A30">
        <v>2050</v>
      </c>
      <c r="B30" t="s">
        <v>7</v>
      </c>
      <c r="C30">
        <v>2.5099999999999998</v>
      </c>
      <c r="D30" s="4">
        <f t="shared" si="0"/>
        <v>287.58752387014641</v>
      </c>
      <c r="F30">
        <v>1.22</v>
      </c>
      <c r="G30" s="4">
        <f t="shared" si="1"/>
        <v>137.76662484316185</v>
      </c>
      <c r="H30" s="2">
        <f t="shared" ref="H30:H34" si="7">(G30-D30)/D30</f>
        <v>-0.52095757496988215</v>
      </c>
    </row>
    <row r="31" spans="1:8" x14ac:dyDescent="0.3">
      <c r="A31">
        <v>2050</v>
      </c>
      <c r="B31" t="s">
        <v>8</v>
      </c>
      <c r="C31">
        <v>0.61</v>
      </c>
      <c r="D31" s="4">
        <f t="shared" si="0"/>
        <v>69.891788669637165</v>
      </c>
      <c r="F31">
        <v>0.18</v>
      </c>
      <c r="G31" s="4">
        <f t="shared" si="1"/>
        <v>20.326223337515685</v>
      </c>
      <c r="H31" s="2">
        <f t="shared" si="7"/>
        <v>-0.70917580270275826</v>
      </c>
    </row>
    <row r="32" spans="1:8" x14ac:dyDescent="0.3">
      <c r="A32">
        <v>2050</v>
      </c>
      <c r="B32" t="s">
        <v>6</v>
      </c>
      <c r="C32">
        <v>10.11</v>
      </c>
      <c r="D32" s="4">
        <f>$D$4*C32/$C$4</f>
        <v>1158.3704646721833</v>
      </c>
      <c r="F32">
        <v>5.57</v>
      </c>
      <c r="G32" s="4">
        <f>$G$4*F32/$F$4</f>
        <v>628.98368883312423</v>
      </c>
      <c r="H32" s="2">
        <f>(G32-D32)/D32</f>
        <v>-0.45700990484842391</v>
      </c>
    </row>
    <row r="33" spans="1:8" x14ac:dyDescent="0.3">
      <c r="A33">
        <v>2050</v>
      </c>
      <c r="B33" t="s">
        <v>9</v>
      </c>
      <c r="C33">
        <v>0.44</v>
      </c>
      <c r="D33" s="4">
        <f t="shared" si="0"/>
        <v>50.413749204328454</v>
      </c>
      <c r="F33">
        <v>0.54</v>
      </c>
      <c r="G33" s="4">
        <f t="shared" si="1"/>
        <v>60.978670012547063</v>
      </c>
      <c r="H33" s="2">
        <f t="shared" si="7"/>
        <v>0.20956427512261913</v>
      </c>
    </row>
    <row r="34" spans="1:8" x14ac:dyDescent="0.3">
      <c r="A34">
        <v>2050</v>
      </c>
      <c r="B34" t="s">
        <v>10</v>
      </c>
      <c r="C34">
        <v>0.77</v>
      </c>
      <c r="D34" s="4">
        <f t="shared" si="0"/>
        <v>88.224061107574784</v>
      </c>
      <c r="F34">
        <v>0.64</v>
      </c>
      <c r="G34" s="4">
        <f t="shared" si="1"/>
        <v>72.271016311166875</v>
      </c>
      <c r="H34" s="2">
        <f t="shared" si="7"/>
        <v>-0.18082419462595115</v>
      </c>
    </row>
    <row r="35" spans="1:8" x14ac:dyDescent="0.3">
      <c r="A35" s="9" t="s">
        <v>17</v>
      </c>
    </row>
  </sheetData>
  <mergeCells count="4">
    <mergeCell ref="C2:D2"/>
    <mergeCell ref="F2:G2"/>
    <mergeCell ref="I3:L3"/>
    <mergeCell ref="H2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40BA4-9D6E-420C-A361-9CB4D719FFD5}">
  <dimension ref="A2:I37"/>
  <sheetViews>
    <sheetView zoomScale="85" zoomScaleNormal="85" workbookViewId="0">
      <selection activeCell="E3" sqref="E3"/>
    </sheetView>
  </sheetViews>
  <sheetFormatPr defaultRowHeight="14.4" x14ac:dyDescent="0.3"/>
  <cols>
    <col min="1" max="1" width="12.109375" customWidth="1"/>
    <col min="3" max="6" width="15.21875" customWidth="1"/>
  </cols>
  <sheetData>
    <row r="2" spans="1:9" ht="14.4" customHeight="1" x14ac:dyDescent="0.3">
      <c r="A2" s="6"/>
      <c r="B2" s="6"/>
      <c r="C2" s="71" t="s">
        <v>16</v>
      </c>
      <c r="D2" s="71"/>
      <c r="E2" s="72" t="s">
        <v>66</v>
      </c>
      <c r="F2" s="72"/>
    </row>
    <row r="3" spans="1:9" ht="24" x14ac:dyDescent="0.3">
      <c r="A3" s="8"/>
      <c r="B3" s="8"/>
      <c r="C3" s="7" t="s">
        <v>14</v>
      </c>
      <c r="D3" s="7" t="s">
        <v>15</v>
      </c>
      <c r="E3" s="18" t="s">
        <v>25</v>
      </c>
      <c r="F3" s="18" t="s">
        <v>26</v>
      </c>
      <c r="G3" s="5"/>
      <c r="H3" s="5"/>
      <c r="I3" s="5"/>
    </row>
    <row r="4" spans="1:9" x14ac:dyDescent="0.3">
      <c r="A4" s="12" t="s">
        <v>12</v>
      </c>
      <c r="B4" s="12" t="s">
        <v>11</v>
      </c>
      <c r="C4" s="12" t="s">
        <v>0</v>
      </c>
      <c r="D4" s="12" t="s">
        <v>0</v>
      </c>
      <c r="E4" s="12" t="s">
        <v>13</v>
      </c>
      <c r="F4" s="12" t="s">
        <v>0</v>
      </c>
    </row>
    <row r="5" spans="1:9" x14ac:dyDescent="0.3">
      <c r="A5" s="9" t="s">
        <v>10</v>
      </c>
      <c r="B5" s="9">
        <v>2015</v>
      </c>
      <c r="C5" s="10">
        <v>49.267982176957346</v>
      </c>
      <c r="D5" s="10">
        <v>48.557089084065247</v>
      </c>
      <c r="E5" s="11">
        <v>-1.4429109159347402E-2</v>
      </c>
      <c r="F5" s="10">
        <f>D5-C5</f>
        <v>-0.71089309289209979</v>
      </c>
    </row>
    <row r="6" spans="1:9" x14ac:dyDescent="0.3">
      <c r="A6" s="9" t="s">
        <v>10</v>
      </c>
      <c r="B6" s="9">
        <v>2020</v>
      </c>
      <c r="C6" s="10">
        <v>66.454487587523872</v>
      </c>
      <c r="D6" s="10">
        <v>56.461731493099123</v>
      </c>
      <c r="E6" s="11">
        <v>-0.15036992168909272</v>
      </c>
      <c r="F6" s="10">
        <f t="shared" ref="F6:F34" si="0">D6-C6</f>
        <v>-9.9927560944247489</v>
      </c>
    </row>
    <row r="7" spans="1:9" x14ac:dyDescent="0.3">
      <c r="A7" s="9" t="s">
        <v>10</v>
      </c>
      <c r="B7" s="9">
        <v>2025</v>
      </c>
      <c r="C7" s="10">
        <v>65.308720560152764</v>
      </c>
      <c r="D7" s="10">
        <v>64.366373902133006</v>
      </c>
      <c r="E7" s="11">
        <v>-1.4429109159347373E-2</v>
      </c>
      <c r="F7" s="10">
        <f t="shared" si="0"/>
        <v>-0.94234665801975837</v>
      </c>
    </row>
    <row r="8" spans="1:9" x14ac:dyDescent="0.3">
      <c r="A8" s="9" t="s">
        <v>10</v>
      </c>
      <c r="B8" s="9">
        <v>2030</v>
      </c>
      <c r="C8" s="10">
        <v>60.725652450668363</v>
      </c>
      <c r="D8" s="10">
        <v>71.141781681304892</v>
      </c>
      <c r="E8" s="11">
        <v>0.17152766269737932</v>
      </c>
      <c r="F8" s="10">
        <f t="shared" si="0"/>
        <v>10.416129230636528</v>
      </c>
    </row>
    <row r="9" spans="1:9" x14ac:dyDescent="0.3">
      <c r="A9" s="9" t="s">
        <v>10</v>
      </c>
      <c r="B9" s="9">
        <v>2040</v>
      </c>
      <c r="C9" s="10">
        <v>74.474856779121581</v>
      </c>
      <c r="D9" s="10">
        <v>73.400250941028858</v>
      </c>
      <c r="E9" s="11">
        <v>-1.4429109159347579E-2</v>
      </c>
      <c r="F9" s="10">
        <f t="shared" si="0"/>
        <v>-1.0746058380927224</v>
      </c>
    </row>
    <row r="10" spans="1:9" x14ac:dyDescent="0.3">
      <c r="A10" s="9" t="s">
        <v>10</v>
      </c>
      <c r="B10" s="9">
        <v>2050</v>
      </c>
      <c r="C10" s="10">
        <v>88.224061107574784</v>
      </c>
      <c r="D10" s="10">
        <v>72.271016311166875</v>
      </c>
      <c r="E10" s="11">
        <v>-0.18082419462595115</v>
      </c>
      <c r="F10" s="10">
        <f t="shared" si="0"/>
        <v>-15.953044796407909</v>
      </c>
    </row>
    <row r="11" spans="1:9" x14ac:dyDescent="0.3">
      <c r="A11" s="9" t="s">
        <v>8</v>
      </c>
      <c r="B11" s="9">
        <v>2015</v>
      </c>
      <c r="C11" s="10">
        <v>69.891788669637165</v>
      </c>
      <c r="D11" s="10">
        <v>81.304893350062741</v>
      </c>
      <c r="E11" s="11">
        <v>0.16329678918896706</v>
      </c>
      <c r="F11" s="10">
        <f t="shared" si="0"/>
        <v>11.413104680425576</v>
      </c>
    </row>
    <row r="12" spans="1:9" x14ac:dyDescent="0.3">
      <c r="A12" s="9" t="s">
        <v>8</v>
      </c>
      <c r="B12" s="9">
        <v>2020</v>
      </c>
      <c r="C12" s="10">
        <v>52.705283259070654</v>
      </c>
      <c r="D12" s="10">
        <v>55.332496863237139</v>
      </c>
      <c r="E12" s="11">
        <v>4.9847253286781981E-2</v>
      </c>
      <c r="F12" s="10">
        <f t="shared" si="0"/>
        <v>2.6272136041664851</v>
      </c>
    </row>
    <row r="13" spans="1:9" x14ac:dyDescent="0.3">
      <c r="A13" s="9" t="s">
        <v>8</v>
      </c>
      <c r="B13" s="9">
        <v>2025</v>
      </c>
      <c r="C13" s="10">
        <v>46.976448122215146</v>
      </c>
      <c r="D13" s="10">
        <v>48.557089084065247</v>
      </c>
      <c r="E13" s="11">
        <v>3.364751966214781E-2</v>
      </c>
      <c r="F13" s="10">
        <f t="shared" si="0"/>
        <v>1.5806409618501007</v>
      </c>
    </row>
    <row r="14" spans="1:9" x14ac:dyDescent="0.3">
      <c r="A14" s="9" t="s">
        <v>8</v>
      </c>
      <c r="B14" s="9">
        <v>2030</v>
      </c>
      <c r="C14" s="10">
        <v>56.142584341183955</v>
      </c>
      <c r="D14" s="10">
        <v>39.523212045169387</v>
      </c>
      <c r="E14" s="11">
        <v>-0.29602079225667671</v>
      </c>
      <c r="F14" s="10">
        <f t="shared" si="0"/>
        <v>-16.619372296014568</v>
      </c>
    </row>
    <row r="15" spans="1:9" x14ac:dyDescent="0.3">
      <c r="A15" s="9" t="s">
        <v>8</v>
      </c>
      <c r="B15" s="9">
        <v>2040</v>
      </c>
      <c r="C15" s="10">
        <v>59.579885423297263</v>
      </c>
      <c r="D15" s="10">
        <v>0</v>
      </c>
      <c r="E15" s="11">
        <v>-1</v>
      </c>
      <c r="F15" s="10">
        <f t="shared" si="0"/>
        <v>-59.579885423297263</v>
      </c>
    </row>
    <row r="16" spans="1:9" x14ac:dyDescent="0.3">
      <c r="A16" s="9" t="s">
        <v>8</v>
      </c>
      <c r="B16" s="9">
        <v>2050</v>
      </c>
      <c r="C16" s="10">
        <v>69.891788669637165</v>
      </c>
      <c r="D16" s="10">
        <v>20.326223337515685</v>
      </c>
      <c r="E16" s="11">
        <v>-0.70917580270275826</v>
      </c>
      <c r="F16" s="10">
        <f t="shared" si="0"/>
        <v>-49.56556533212148</v>
      </c>
    </row>
    <row r="17" spans="1:6" x14ac:dyDescent="0.3">
      <c r="A17" s="9" t="s">
        <v>6</v>
      </c>
      <c r="B17" s="9">
        <v>2015</v>
      </c>
      <c r="C17" s="10">
        <v>545.38510502864415</v>
      </c>
      <c r="D17" s="10">
        <v>648.18067754077799</v>
      </c>
      <c r="E17" s="11">
        <v>0.18848254483725757</v>
      </c>
      <c r="F17" s="10">
        <f t="shared" si="0"/>
        <v>102.79557251213384</v>
      </c>
    </row>
    <row r="18" spans="1:6" x14ac:dyDescent="0.3">
      <c r="A18" s="9" t="s">
        <v>6</v>
      </c>
      <c r="B18" s="9">
        <v>2020</v>
      </c>
      <c r="C18" s="10">
        <v>639.3380012730745</v>
      </c>
      <c r="D18" s="10">
        <v>608.65746549560856</v>
      </c>
      <c r="E18" s="11">
        <v>-4.7987974618079431E-2</v>
      </c>
      <c r="F18" s="10">
        <f t="shared" si="0"/>
        <v>-30.680535777465934</v>
      </c>
    </row>
    <row r="19" spans="1:6" x14ac:dyDescent="0.3">
      <c r="A19" s="9" t="s">
        <v>6</v>
      </c>
      <c r="B19" s="9">
        <v>2025</v>
      </c>
      <c r="C19" s="10">
        <v>712.66709102482491</v>
      </c>
      <c r="D19" s="10">
        <v>636.88833124215807</v>
      </c>
      <c r="E19" s="11">
        <v>-0.10633121795156271</v>
      </c>
      <c r="F19" s="10">
        <f t="shared" si="0"/>
        <v>-75.778759782666839</v>
      </c>
    </row>
    <row r="20" spans="1:6" x14ac:dyDescent="0.3">
      <c r="A20" s="9" t="s">
        <v>6</v>
      </c>
      <c r="B20" s="9">
        <v>2030</v>
      </c>
      <c r="C20" s="10">
        <v>796.3080840229153</v>
      </c>
      <c r="D20" s="10">
        <v>648.18067754077799</v>
      </c>
      <c r="E20" s="11">
        <v>-0.18601771029851136</v>
      </c>
      <c r="F20" s="10">
        <f t="shared" si="0"/>
        <v>-148.1274064821373</v>
      </c>
    </row>
    <row r="21" spans="1:6" x14ac:dyDescent="0.3">
      <c r="A21" s="9" t="s">
        <v>6</v>
      </c>
      <c r="B21" s="9">
        <v>2040</v>
      </c>
      <c r="C21" s="10">
        <v>969.31890515595171</v>
      </c>
      <c r="D21" s="10">
        <v>626.7252195734003</v>
      </c>
      <c r="E21" s="11">
        <v>-0.35343753615063583</v>
      </c>
      <c r="F21" s="10">
        <f t="shared" si="0"/>
        <v>-342.59368558255142</v>
      </c>
    </row>
    <row r="22" spans="1:6" x14ac:dyDescent="0.3">
      <c r="A22" s="9" t="s">
        <v>6</v>
      </c>
      <c r="B22" s="9">
        <v>2050</v>
      </c>
      <c r="C22" s="10">
        <v>1158.3704646721833</v>
      </c>
      <c r="D22" s="10">
        <v>628.98368883312423</v>
      </c>
      <c r="E22" s="11">
        <v>-0.45700990484842391</v>
      </c>
      <c r="F22" s="10">
        <f t="shared" si="0"/>
        <v>-529.38677583905906</v>
      </c>
    </row>
    <row r="23" spans="1:6" x14ac:dyDescent="0.3">
      <c r="A23" s="9" t="s">
        <v>9</v>
      </c>
      <c r="B23" s="9">
        <v>2015</v>
      </c>
      <c r="C23" s="10">
        <v>22.915340547422023</v>
      </c>
      <c r="D23" s="10">
        <v>27.101631116687578</v>
      </c>
      <c r="E23" s="11">
        <v>0.18268506900878298</v>
      </c>
      <c r="F23" s="10">
        <f t="shared" si="0"/>
        <v>4.1862905692655552</v>
      </c>
    </row>
    <row r="24" spans="1:6" x14ac:dyDescent="0.3">
      <c r="A24" s="9" t="s">
        <v>9</v>
      </c>
      <c r="B24" s="9">
        <v>2020</v>
      </c>
      <c r="C24" s="10">
        <v>24.061107574793123</v>
      </c>
      <c r="D24" s="10">
        <v>23.713927227101632</v>
      </c>
      <c r="E24" s="11">
        <v>-1.4429109159347435E-2</v>
      </c>
      <c r="F24" s="10">
        <f t="shared" si="0"/>
        <v>-0.34718034769149142</v>
      </c>
    </row>
    <row r="25" spans="1:6" x14ac:dyDescent="0.3">
      <c r="A25" s="9" t="s">
        <v>9</v>
      </c>
      <c r="B25" s="9">
        <v>2025</v>
      </c>
      <c r="C25" s="10">
        <v>32.081476766390836</v>
      </c>
      <c r="D25" s="10">
        <v>29.360100376411545</v>
      </c>
      <c r="E25" s="11">
        <v>-8.4827029933679882E-2</v>
      </c>
      <c r="F25" s="10">
        <f t="shared" si="0"/>
        <v>-2.7213763899792909</v>
      </c>
    </row>
    <row r="26" spans="1:6" x14ac:dyDescent="0.3">
      <c r="A26" s="9" t="s">
        <v>9</v>
      </c>
      <c r="B26" s="9">
        <v>2030</v>
      </c>
      <c r="C26" s="10">
        <v>35.518777848504136</v>
      </c>
      <c r="D26" s="10">
        <v>29.360100376411545</v>
      </c>
      <c r="E26" s="11">
        <v>-0.17339215606913014</v>
      </c>
      <c r="F26" s="10">
        <f t="shared" si="0"/>
        <v>-6.1586774720925916</v>
      </c>
    </row>
    <row r="27" spans="1:6" x14ac:dyDescent="0.3">
      <c r="A27" s="9" t="s">
        <v>9</v>
      </c>
      <c r="B27" s="9">
        <v>2040</v>
      </c>
      <c r="C27" s="10">
        <v>42.393380012730745</v>
      </c>
      <c r="D27" s="10">
        <v>48.557089084065247</v>
      </c>
      <c r="E27" s="11">
        <v>0.14539319746346099</v>
      </c>
      <c r="F27" s="10">
        <f t="shared" si="0"/>
        <v>6.1637090713345017</v>
      </c>
    </row>
    <row r="28" spans="1:6" x14ac:dyDescent="0.3">
      <c r="A28" s="9" t="s">
        <v>9</v>
      </c>
      <c r="B28" s="9">
        <v>2050</v>
      </c>
      <c r="C28" s="10">
        <v>50.413749204328454</v>
      </c>
      <c r="D28" s="10">
        <v>60.978670012547063</v>
      </c>
      <c r="E28" s="11">
        <v>0.20956427512261913</v>
      </c>
      <c r="F28" s="10">
        <f t="shared" si="0"/>
        <v>10.564920808218609</v>
      </c>
    </row>
    <row r="29" spans="1:6" x14ac:dyDescent="0.3">
      <c r="A29" s="9" t="s">
        <v>7</v>
      </c>
      <c r="B29" s="9">
        <v>2015</v>
      </c>
      <c r="C29" s="10">
        <v>197.07192870782939</v>
      </c>
      <c r="D29" s="10">
        <v>198.74529485570892</v>
      </c>
      <c r="E29" s="11">
        <v>8.4911441160166294E-3</v>
      </c>
      <c r="F29" s="10">
        <f t="shared" si="0"/>
        <v>1.6733661478795341</v>
      </c>
    </row>
    <row r="30" spans="1:6" x14ac:dyDescent="0.3">
      <c r="A30" s="9" t="s">
        <v>7</v>
      </c>
      <c r="B30" s="9">
        <v>2020</v>
      </c>
      <c r="C30" s="10">
        <v>208.5295989815404</v>
      </c>
      <c r="D30" s="10">
        <v>213.42534504391469</v>
      </c>
      <c r="E30" s="11">
        <v>2.3477463565293052E-2</v>
      </c>
      <c r="F30" s="10">
        <f t="shared" si="0"/>
        <v>4.8957460623742861</v>
      </c>
    </row>
    <row r="31" spans="1:6" x14ac:dyDescent="0.3">
      <c r="A31" s="9" t="s">
        <v>7</v>
      </c>
      <c r="B31" s="9">
        <v>2025</v>
      </c>
      <c r="C31" s="10">
        <v>226.86187141947804</v>
      </c>
      <c r="D31" s="10">
        <v>217.94228356336262</v>
      </c>
      <c r="E31" s="11">
        <v>-3.9317262968454864E-2</v>
      </c>
      <c r="F31" s="10">
        <f t="shared" si="0"/>
        <v>-8.9195878561154132</v>
      </c>
    </row>
    <row r="32" spans="1:6" x14ac:dyDescent="0.3">
      <c r="A32" s="9" t="s">
        <v>7</v>
      </c>
      <c r="B32" s="9">
        <v>2030</v>
      </c>
      <c r="C32" s="10">
        <v>241.75684277530235</v>
      </c>
      <c r="D32" s="10">
        <v>217.94228356336262</v>
      </c>
      <c r="E32" s="11">
        <v>-9.8506246766606922E-2</v>
      </c>
      <c r="F32" s="10">
        <f t="shared" si="0"/>
        <v>-23.814559211939724</v>
      </c>
    </row>
    <row r="33" spans="1:6" x14ac:dyDescent="0.3">
      <c r="A33" s="9" t="s">
        <v>7</v>
      </c>
      <c r="B33" s="9">
        <v>2040</v>
      </c>
      <c r="C33" s="10">
        <v>266.96371737746659</v>
      </c>
      <c r="D33" s="10">
        <v>190.84065244667505</v>
      </c>
      <c r="E33" s="11">
        <v>-0.28514386029154387</v>
      </c>
      <c r="F33" s="10">
        <f t="shared" si="0"/>
        <v>-76.123064930791543</v>
      </c>
    </row>
    <row r="34" spans="1:6" x14ac:dyDescent="0.3">
      <c r="A34" s="9" t="s">
        <v>7</v>
      </c>
      <c r="B34" s="9">
        <v>2050</v>
      </c>
      <c r="C34" s="10">
        <v>287.58752387014641</v>
      </c>
      <c r="D34" s="10">
        <v>137.76662484316185</v>
      </c>
      <c r="E34" s="11">
        <v>-0.52095757496988215</v>
      </c>
      <c r="F34" s="10">
        <f t="shared" si="0"/>
        <v>-149.82089902698456</v>
      </c>
    </row>
    <row r="36" spans="1:6" x14ac:dyDescent="0.3">
      <c r="A36" s="9" t="s">
        <v>17</v>
      </c>
    </row>
    <row r="37" spans="1:6" x14ac:dyDescent="0.3">
      <c r="A37" s="9" t="s">
        <v>18</v>
      </c>
    </row>
  </sheetData>
  <autoFilter ref="A4:F34" xr:uid="{A0D437A9-4981-4E6D-BA93-C1A885A05060}"/>
  <sortState ref="B5:E34">
    <sortCondition ref="B5:B34"/>
  </sortState>
  <mergeCells count="2">
    <mergeCell ref="C2:D2"/>
    <mergeCell ref="E2:F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09DC6-BBF8-4C3C-8CD1-AC461072994F}">
  <dimension ref="A2:I12"/>
  <sheetViews>
    <sheetView zoomScale="85" zoomScaleNormal="85" workbookViewId="0">
      <selection activeCell="F19" sqref="F19"/>
    </sheetView>
  </sheetViews>
  <sheetFormatPr defaultRowHeight="14.4" x14ac:dyDescent="0.3"/>
  <cols>
    <col min="1" max="1" width="22.44140625" customWidth="1"/>
    <col min="3" max="6" width="15.21875" customWidth="1"/>
  </cols>
  <sheetData>
    <row r="2" spans="1:9" ht="14.4" customHeight="1" x14ac:dyDescent="0.3">
      <c r="A2" s="6"/>
      <c r="B2" s="6"/>
      <c r="C2" s="71" t="s">
        <v>16</v>
      </c>
      <c r="D2" s="71"/>
      <c r="E2" s="72" t="s">
        <v>21</v>
      </c>
      <c r="F2" s="72"/>
    </row>
    <row r="3" spans="1:9" ht="24" x14ac:dyDescent="0.3">
      <c r="A3" s="8"/>
      <c r="B3" s="8"/>
      <c r="C3" s="7" t="s">
        <v>14</v>
      </c>
      <c r="D3" s="7" t="s">
        <v>15</v>
      </c>
      <c r="E3" s="7" t="s">
        <v>19</v>
      </c>
      <c r="F3" s="7" t="s">
        <v>20</v>
      </c>
      <c r="G3" s="5"/>
      <c r="H3" s="5"/>
      <c r="I3" s="5"/>
    </row>
    <row r="4" spans="1:9" x14ac:dyDescent="0.3">
      <c r="A4" s="12" t="s">
        <v>12</v>
      </c>
      <c r="B4" s="12" t="s">
        <v>11</v>
      </c>
      <c r="C4" s="12" t="s">
        <v>0</v>
      </c>
      <c r="D4" s="12" t="s">
        <v>0</v>
      </c>
      <c r="E4" s="12" t="s">
        <v>13</v>
      </c>
      <c r="F4" s="12" t="s">
        <v>0</v>
      </c>
    </row>
    <row r="5" spans="1:9" x14ac:dyDescent="0.3">
      <c r="A5" s="9" t="s">
        <v>22</v>
      </c>
      <c r="B5" s="9">
        <v>2015</v>
      </c>
      <c r="C5" s="4">
        <v>266.96371737746654</v>
      </c>
      <c r="D5" s="4">
        <v>280.05018820577163</v>
      </c>
      <c r="E5" s="11">
        <f>(D5-C5)/C5</f>
        <v>4.9019660637261112E-2</v>
      </c>
      <c r="F5" s="10">
        <f>D5-C5</f>
        <v>13.086470828305096</v>
      </c>
      <c r="H5" s="4">
        <f>1-D5/$D$5</f>
        <v>0</v>
      </c>
      <c r="I5" s="4"/>
    </row>
    <row r="6" spans="1:9" x14ac:dyDescent="0.3">
      <c r="A6" s="9" t="s">
        <v>22</v>
      </c>
      <c r="B6" s="9">
        <v>2020</v>
      </c>
      <c r="C6" s="4">
        <v>261.23488224061106</v>
      </c>
      <c r="D6" s="4">
        <v>268.75784190715183</v>
      </c>
      <c r="E6" s="11">
        <f t="shared" ref="E6:E10" si="0">(D6-C6)/C6</f>
        <v>2.8797684298575908E-2</v>
      </c>
      <c r="F6" s="10">
        <f t="shared" ref="F6:F10" si="1">D6-C6</f>
        <v>7.5229596665407712</v>
      </c>
      <c r="H6" s="4">
        <f t="shared" ref="H6:H10" si="2">1-D6/$D$5</f>
        <v>4.0322580645161255E-2</v>
      </c>
      <c r="I6" s="4"/>
    </row>
    <row r="7" spans="1:9" x14ac:dyDescent="0.3">
      <c r="A7" s="9" t="s">
        <v>22</v>
      </c>
      <c r="B7" s="9">
        <v>2025</v>
      </c>
      <c r="C7" s="4">
        <v>273.83831954169318</v>
      </c>
      <c r="D7" s="4">
        <v>266.49937264742789</v>
      </c>
      <c r="E7" s="11">
        <f t="shared" si="0"/>
        <v>-2.680029188956479E-2</v>
      </c>
      <c r="F7" s="10">
        <f t="shared" si="1"/>
        <v>-7.3389468942652911</v>
      </c>
      <c r="H7" s="4">
        <f t="shared" si="2"/>
        <v>4.8387096774193394E-2</v>
      </c>
      <c r="I7" s="4"/>
    </row>
    <row r="8" spans="1:9" x14ac:dyDescent="0.3">
      <c r="A8" s="9" t="s">
        <v>22</v>
      </c>
      <c r="B8" s="9">
        <v>2030</v>
      </c>
      <c r="C8" s="4">
        <v>297.89942711648632</v>
      </c>
      <c r="D8" s="4">
        <v>257.46549560853202</v>
      </c>
      <c r="E8" s="11">
        <f t="shared" si="0"/>
        <v>-0.13573014187819701</v>
      </c>
      <c r="F8" s="10">
        <f t="shared" si="1"/>
        <v>-40.433931507954298</v>
      </c>
      <c r="H8" s="4">
        <f t="shared" si="2"/>
        <v>8.0645161290322398E-2</v>
      </c>
      <c r="I8" s="4"/>
    </row>
    <row r="9" spans="1:9" x14ac:dyDescent="0.3">
      <c r="A9" s="9" t="s">
        <v>22</v>
      </c>
      <c r="B9" s="9">
        <v>2040</v>
      </c>
      <c r="C9" s="4">
        <v>326.54360280076384</v>
      </c>
      <c r="D9" s="4">
        <v>190.84065244667505</v>
      </c>
      <c r="E9" s="11">
        <f t="shared" si="0"/>
        <v>-0.41557375244887618</v>
      </c>
      <c r="F9" s="10">
        <f t="shared" si="1"/>
        <v>-135.70295035408878</v>
      </c>
      <c r="H9" s="4">
        <f t="shared" si="2"/>
        <v>0.31854838709677413</v>
      </c>
      <c r="I9" s="4"/>
    </row>
    <row r="10" spans="1:9" x14ac:dyDescent="0.3">
      <c r="A10" s="9" t="s">
        <v>22</v>
      </c>
      <c r="B10" s="9">
        <v>2050</v>
      </c>
      <c r="C10" s="4">
        <v>357.47931253978356</v>
      </c>
      <c r="D10" s="4">
        <v>158.09284818067755</v>
      </c>
      <c r="E10" s="11">
        <f t="shared" si="0"/>
        <v>-0.55775665154586107</v>
      </c>
      <c r="F10" s="10">
        <f t="shared" si="1"/>
        <v>-199.38646435910601</v>
      </c>
      <c r="H10" s="4">
        <f t="shared" si="2"/>
        <v>0.43548387096774188</v>
      </c>
      <c r="I10" s="4"/>
    </row>
    <row r="11" spans="1:9" x14ac:dyDescent="0.3">
      <c r="A11" s="9" t="s">
        <v>17</v>
      </c>
    </row>
    <row r="12" spans="1:9" x14ac:dyDescent="0.3">
      <c r="A12" s="9" t="s">
        <v>18</v>
      </c>
    </row>
  </sheetData>
  <autoFilter ref="A4:F10" xr:uid="{A0D437A9-4981-4E6D-BA93-C1A885A05060}"/>
  <mergeCells count="2">
    <mergeCell ref="C2:D2"/>
    <mergeCell ref="E2:F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129C0-5D7A-48DF-A186-D00D9B7DBBB1}">
  <dimension ref="A2:L66"/>
  <sheetViews>
    <sheetView zoomScaleNormal="100" workbookViewId="0">
      <selection activeCell="E3" sqref="E3"/>
    </sheetView>
  </sheetViews>
  <sheetFormatPr defaultRowHeight="14.4" x14ac:dyDescent="0.3"/>
  <cols>
    <col min="1" max="1" width="16.88671875" customWidth="1"/>
    <col min="3" max="3" width="15.21875" customWidth="1"/>
    <col min="4" max="4" width="16.77734375" customWidth="1"/>
    <col min="5" max="6" width="15.109375" customWidth="1"/>
    <col min="7" max="8" width="12.44140625" customWidth="1"/>
    <col min="9" max="10" width="9.88671875" customWidth="1"/>
    <col min="11" max="12" width="9.77734375" customWidth="1"/>
  </cols>
  <sheetData>
    <row r="2" spans="1:9" ht="14.4" customHeight="1" x14ac:dyDescent="0.3">
      <c r="A2" s="6"/>
      <c r="B2" s="6"/>
      <c r="C2" s="71" t="s">
        <v>16</v>
      </c>
      <c r="D2" s="71"/>
      <c r="E2" s="72" t="s">
        <v>24</v>
      </c>
      <c r="F2" s="72"/>
    </row>
    <row r="3" spans="1:9" ht="24" x14ac:dyDescent="0.3">
      <c r="A3" s="8"/>
      <c r="B3" s="8"/>
      <c r="C3" s="13" t="s">
        <v>14</v>
      </c>
      <c r="D3" s="13" t="s">
        <v>15</v>
      </c>
      <c r="E3" s="13" t="s">
        <v>25</v>
      </c>
      <c r="F3" s="13" t="s">
        <v>26</v>
      </c>
      <c r="G3" s="5"/>
      <c r="H3" s="5"/>
      <c r="I3" s="5"/>
    </row>
    <row r="4" spans="1:9" x14ac:dyDescent="0.3">
      <c r="A4" s="12" t="s">
        <v>12</v>
      </c>
      <c r="B4" s="12" t="s">
        <v>11</v>
      </c>
      <c r="C4" s="12" t="s">
        <v>0</v>
      </c>
      <c r="D4" s="12" t="s">
        <v>0</v>
      </c>
      <c r="E4" s="12" t="s">
        <v>13</v>
      </c>
      <c r="F4" s="12" t="s">
        <v>0</v>
      </c>
    </row>
    <row r="5" spans="1:9" x14ac:dyDescent="0.3">
      <c r="A5" s="9" t="s">
        <v>10</v>
      </c>
      <c r="B5" s="9">
        <v>2015</v>
      </c>
      <c r="C5" s="10">
        <v>49.267982176957346</v>
      </c>
      <c r="D5" s="10">
        <v>48.557089084065247</v>
      </c>
      <c r="E5" s="11">
        <f t="shared" ref="E5:E24" si="0">(D5-C5)/C5</f>
        <v>-1.4429109159347402E-2</v>
      </c>
      <c r="F5" s="10">
        <f>D5-C5</f>
        <v>-0.71089309289209979</v>
      </c>
    </row>
    <row r="6" spans="1:9" x14ac:dyDescent="0.3">
      <c r="A6" s="9" t="s">
        <v>10</v>
      </c>
      <c r="B6" s="9">
        <v>2020</v>
      </c>
      <c r="C6" s="10">
        <v>66.454487587523872</v>
      </c>
      <c r="D6" s="10">
        <v>56.461731493099123</v>
      </c>
      <c r="E6" s="11">
        <f t="shared" si="0"/>
        <v>-0.15036992168909272</v>
      </c>
      <c r="F6" s="10">
        <f t="shared" ref="F6:F34" si="1">D6-C6</f>
        <v>-9.9927560944247489</v>
      </c>
    </row>
    <row r="7" spans="1:9" x14ac:dyDescent="0.3">
      <c r="A7" s="9" t="s">
        <v>10</v>
      </c>
      <c r="B7" s="9">
        <v>2025</v>
      </c>
      <c r="C7" s="10">
        <v>65.308720560152764</v>
      </c>
      <c r="D7" s="10">
        <v>64.366373902133006</v>
      </c>
      <c r="E7" s="11">
        <f t="shared" si="0"/>
        <v>-1.4429109159347373E-2</v>
      </c>
      <c r="F7" s="10">
        <f t="shared" si="1"/>
        <v>-0.94234665801975837</v>
      </c>
    </row>
    <row r="8" spans="1:9" x14ac:dyDescent="0.3">
      <c r="A8" s="9" t="s">
        <v>10</v>
      </c>
      <c r="B8" s="9">
        <v>2030</v>
      </c>
      <c r="C8" s="10">
        <v>60.725652450668363</v>
      </c>
      <c r="D8" s="10">
        <v>71.141781681304892</v>
      </c>
      <c r="E8" s="11">
        <f t="shared" si="0"/>
        <v>0.17152766269737932</v>
      </c>
      <c r="F8" s="10">
        <f t="shared" si="1"/>
        <v>10.416129230636528</v>
      </c>
    </row>
    <row r="9" spans="1:9" x14ac:dyDescent="0.3">
      <c r="A9" s="9" t="s">
        <v>10</v>
      </c>
      <c r="B9" s="9">
        <v>2040</v>
      </c>
      <c r="C9" s="10">
        <v>74.474856779121581</v>
      </c>
      <c r="D9" s="10">
        <v>73.400250941028858</v>
      </c>
      <c r="E9" s="11">
        <f t="shared" si="0"/>
        <v>-1.4429109159347579E-2</v>
      </c>
      <c r="F9" s="10">
        <f t="shared" si="1"/>
        <v>-1.0746058380927224</v>
      </c>
    </row>
    <row r="10" spans="1:9" x14ac:dyDescent="0.3">
      <c r="A10" s="9" t="s">
        <v>10</v>
      </c>
      <c r="B10" s="9">
        <v>2050</v>
      </c>
      <c r="C10" s="10">
        <v>88.224061107574784</v>
      </c>
      <c r="D10" s="10">
        <v>72.271016311166875</v>
      </c>
      <c r="E10" s="11">
        <f t="shared" si="0"/>
        <v>-0.18082419462595115</v>
      </c>
      <c r="F10" s="10">
        <f t="shared" si="1"/>
        <v>-15.953044796407909</v>
      </c>
    </row>
    <row r="11" spans="1:9" x14ac:dyDescent="0.3">
      <c r="A11" s="9" t="s">
        <v>8</v>
      </c>
      <c r="B11" s="9">
        <v>2015</v>
      </c>
      <c r="C11" s="10">
        <v>69.891788669637165</v>
      </c>
      <c r="D11" s="10">
        <v>81.304893350062741</v>
      </c>
      <c r="E11" s="11">
        <f t="shared" si="0"/>
        <v>0.16329678918896706</v>
      </c>
      <c r="F11" s="10">
        <f t="shared" si="1"/>
        <v>11.413104680425576</v>
      </c>
    </row>
    <row r="12" spans="1:9" x14ac:dyDescent="0.3">
      <c r="A12" s="9" t="s">
        <v>8</v>
      </c>
      <c r="B12" s="9">
        <v>2020</v>
      </c>
      <c r="C12" s="10">
        <v>52.705283259070654</v>
      </c>
      <c r="D12" s="10">
        <v>55.332496863237139</v>
      </c>
      <c r="E12" s="11">
        <f t="shared" si="0"/>
        <v>4.9847253286781981E-2</v>
      </c>
      <c r="F12" s="10">
        <f t="shared" si="1"/>
        <v>2.6272136041664851</v>
      </c>
    </row>
    <row r="13" spans="1:9" x14ac:dyDescent="0.3">
      <c r="A13" s="9" t="s">
        <v>8</v>
      </c>
      <c r="B13" s="9">
        <v>2025</v>
      </c>
      <c r="C13" s="10">
        <v>46.976448122215146</v>
      </c>
      <c r="D13" s="10">
        <v>48.557089084065247</v>
      </c>
      <c r="E13" s="11">
        <f t="shared" si="0"/>
        <v>3.364751966214781E-2</v>
      </c>
      <c r="F13" s="10">
        <f t="shared" si="1"/>
        <v>1.5806409618501007</v>
      </c>
    </row>
    <row r="14" spans="1:9" x14ac:dyDescent="0.3">
      <c r="A14" s="9" t="s">
        <v>8</v>
      </c>
      <c r="B14" s="9">
        <v>2030</v>
      </c>
      <c r="C14" s="10">
        <v>56.142584341183955</v>
      </c>
      <c r="D14" s="10">
        <v>39.523212045169387</v>
      </c>
      <c r="E14" s="11">
        <f t="shared" si="0"/>
        <v>-0.29602079225667671</v>
      </c>
      <c r="F14" s="10">
        <f t="shared" si="1"/>
        <v>-16.619372296014568</v>
      </c>
    </row>
    <row r="15" spans="1:9" x14ac:dyDescent="0.3">
      <c r="A15" s="9" t="s">
        <v>8</v>
      </c>
      <c r="B15" s="9">
        <v>2040</v>
      </c>
      <c r="C15" s="10">
        <v>59.579885423297263</v>
      </c>
      <c r="D15" s="10">
        <v>0</v>
      </c>
      <c r="E15" s="11">
        <f t="shared" si="0"/>
        <v>-1</v>
      </c>
      <c r="F15" s="10">
        <f t="shared" si="1"/>
        <v>-59.579885423297263</v>
      </c>
    </row>
    <row r="16" spans="1:9" x14ac:dyDescent="0.3">
      <c r="A16" s="9" t="s">
        <v>8</v>
      </c>
      <c r="B16" s="9">
        <v>2050</v>
      </c>
      <c r="C16" s="10">
        <v>69.891788669637165</v>
      </c>
      <c r="D16" s="10">
        <v>20.326223337515685</v>
      </c>
      <c r="E16" s="11">
        <f t="shared" si="0"/>
        <v>-0.70917580270275826</v>
      </c>
      <c r="F16" s="10">
        <f t="shared" si="1"/>
        <v>-49.56556533212148</v>
      </c>
    </row>
    <row r="17" spans="1:12" x14ac:dyDescent="0.3">
      <c r="A17" s="9" t="s">
        <v>6</v>
      </c>
      <c r="B17" s="9">
        <v>2015</v>
      </c>
      <c r="C17" s="10">
        <v>545.38510502864415</v>
      </c>
      <c r="D17" s="10">
        <v>648.18067754077799</v>
      </c>
      <c r="E17" s="11">
        <f t="shared" ref="E17:E22" si="2">(D17-C17)/C17</f>
        <v>0.18848254483725757</v>
      </c>
      <c r="F17" s="10">
        <f>D17-C17</f>
        <v>102.79557251213384</v>
      </c>
    </row>
    <row r="18" spans="1:12" x14ac:dyDescent="0.3">
      <c r="A18" s="9" t="s">
        <v>6</v>
      </c>
      <c r="B18" s="9">
        <v>2020</v>
      </c>
      <c r="C18" s="10">
        <v>639.3380012730745</v>
      </c>
      <c r="D18" s="10">
        <v>649.29999999999995</v>
      </c>
      <c r="E18" s="11">
        <f t="shared" si="2"/>
        <v>1.5581740342492925E-2</v>
      </c>
      <c r="F18" s="10">
        <f t="shared" si="1"/>
        <v>9.961998726925458</v>
      </c>
    </row>
    <row r="19" spans="1:12" x14ac:dyDescent="0.3">
      <c r="A19" s="9" t="s">
        <v>6</v>
      </c>
      <c r="B19" s="9">
        <v>2025</v>
      </c>
      <c r="C19" s="10">
        <v>712.66709102482491</v>
      </c>
      <c r="D19" s="10">
        <v>636.88833124215807</v>
      </c>
      <c r="E19" s="11">
        <f t="shared" si="2"/>
        <v>-0.10633121795156271</v>
      </c>
      <c r="F19" s="10">
        <f t="shared" si="1"/>
        <v>-75.778759782666839</v>
      </c>
    </row>
    <row r="20" spans="1:12" x14ac:dyDescent="0.3">
      <c r="A20" s="9" t="s">
        <v>6</v>
      </c>
      <c r="B20" s="9">
        <v>2030</v>
      </c>
      <c r="C20" s="10">
        <v>796.3080840229153</v>
      </c>
      <c r="D20" s="10">
        <v>648.18067754077799</v>
      </c>
      <c r="E20" s="11">
        <f t="shared" si="2"/>
        <v>-0.18601771029851136</v>
      </c>
      <c r="F20" s="10">
        <f t="shared" si="1"/>
        <v>-148.1274064821373</v>
      </c>
    </row>
    <row r="21" spans="1:12" x14ac:dyDescent="0.3">
      <c r="A21" s="9" t="s">
        <v>6</v>
      </c>
      <c r="B21" s="9">
        <v>2040</v>
      </c>
      <c r="C21" s="10">
        <v>969.31890515595171</v>
      </c>
      <c r="D21" s="10">
        <v>626.7252195734003</v>
      </c>
      <c r="E21" s="11">
        <f t="shared" si="2"/>
        <v>-0.35343753615063583</v>
      </c>
      <c r="F21" s="10">
        <f t="shared" si="1"/>
        <v>-342.59368558255142</v>
      </c>
    </row>
    <row r="22" spans="1:12" x14ac:dyDescent="0.3">
      <c r="A22" s="9" t="s">
        <v>6</v>
      </c>
      <c r="B22" s="9">
        <v>2050</v>
      </c>
      <c r="C22" s="10">
        <v>1158.3704646721833</v>
      </c>
      <c r="D22" s="10">
        <v>628.98368883312423</v>
      </c>
      <c r="E22" s="11">
        <f t="shared" si="2"/>
        <v>-0.45700990484842391</v>
      </c>
      <c r="F22" s="10">
        <f t="shared" si="1"/>
        <v>-529.38677583905906</v>
      </c>
    </row>
    <row r="23" spans="1:12" x14ac:dyDescent="0.3">
      <c r="A23" s="9" t="s">
        <v>9</v>
      </c>
      <c r="B23" s="9">
        <v>2015</v>
      </c>
      <c r="C23" s="10">
        <v>22.915340547422023</v>
      </c>
      <c r="D23" s="10">
        <v>27.101631116687578</v>
      </c>
      <c r="E23" s="11">
        <f t="shared" si="0"/>
        <v>0.18268506900878298</v>
      </c>
      <c r="F23" s="10">
        <f>D23-C23</f>
        <v>4.1862905692655552</v>
      </c>
    </row>
    <row r="24" spans="1:12" x14ac:dyDescent="0.3">
      <c r="A24" s="9" t="s">
        <v>9</v>
      </c>
      <c r="B24" s="9">
        <v>2020</v>
      </c>
      <c r="C24" s="10">
        <v>24.061107574793123</v>
      </c>
      <c r="D24" s="10">
        <v>23.713927227101632</v>
      </c>
      <c r="E24" s="11">
        <f t="shared" si="0"/>
        <v>-1.4429109159347435E-2</v>
      </c>
      <c r="F24" s="10">
        <f t="shared" si="1"/>
        <v>-0.34718034769149142</v>
      </c>
    </row>
    <row r="25" spans="1:12" x14ac:dyDescent="0.3">
      <c r="A25" s="9" t="s">
        <v>9</v>
      </c>
      <c r="B25" s="9">
        <v>2025</v>
      </c>
      <c r="C25" s="10">
        <v>32.081476766390836</v>
      </c>
      <c r="D25" s="10">
        <v>29.360100376411545</v>
      </c>
      <c r="E25" s="11">
        <f t="shared" ref="E25:E28" si="3">(D25-C25)/C25</f>
        <v>-8.4827029933679882E-2</v>
      </c>
      <c r="F25" s="10">
        <f t="shared" si="1"/>
        <v>-2.7213763899792909</v>
      </c>
    </row>
    <row r="26" spans="1:12" x14ac:dyDescent="0.3">
      <c r="A26" s="9" t="s">
        <v>9</v>
      </c>
      <c r="B26" s="9">
        <v>2030</v>
      </c>
      <c r="C26" s="10">
        <v>35.518777848504136</v>
      </c>
      <c r="D26" s="10">
        <v>29.360100376411545</v>
      </c>
      <c r="E26" s="11">
        <f t="shared" si="3"/>
        <v>-0.17339215606913014</v>
      </c>
      <c r="F26" s="10">
        <f t="shared" si="1"/>
        <v>-6.1586774720925916</v>
      </c>
    </row>
    <row r="27" spans="1:12" x14ac:dyDescent="0.3">
      <c r="A27" s="9" t="s">
        <v>9</v>
      </c>
      <c r="B27" s="9">
        <v>2040</v>
      </c>
      <c r="C27" s="10">
        <v>42.393380012730745</v>
      </c>
      <c r="D27" s="10">
        <v>48.557089084065247</v>
      </c>
      <c r="E27" s="11">
        <f t="shared" si="3"/>
        <v>0.14539319746346099</v>
      </c>
      <c r="F27" s="10">
        <f t="shared" si="1"/>
        <v>6.1637090713345017</v>
      </c>
      <c r="I27" s="19"/>
      <c r="J27" s="19"/>
      <c r="K27" s="20"/>
      <c r="L27" s="20"/>
    </row>
    <row r="28" spans="1:12" x14ac:dyDescent="0.3">
      <c r="A28" s="9" t="s">
        <v>9</v>
      </c>
      <c r="B28" s="9">
        <v>2050</v>
      </c>
      <c r="C28" s="10">
        <v>50.413749204328454</v>
      </c>
      <c r="D28" s="10">
        <v>60.978670012547063</v>
      </c>
      <c r="E28" s="11">
        <f t="shared" si="3"/>
        <v>0.20956427512261913</v>
      </c>
      <c r="F28" s="10">
        <f t="shared" si="1"/>
        <v>10.564920808218609</v>
      </c>
      <c r="I28" s="16"/>
      <c r="J28" s="16"/>
      <c r="K28" s="16"/>
      <c r="L28" s="16"/>
    </row>
    <row r="29" spans="1:12" x14ac:dyDescent="0.3">
      <c r="A29" s="21" t="s">
        <v>7</v>
      </c>
      <c r="B29" s="9">
        <v>2015</v>
      </c>
      <c r="C29" s="10">
        <v>197.07192870782939</v>
      </c>
      <c r="D29" s="10">
        <v>198.74529485570892</v>
      </c>
      <c r="E29" s="11">
        <f>(D29-C29)/C29</f>
        <v>8.4911441160166294E-3</v>
      </c>
      <c r="F29" s="10">
        <f t="shared" si="1"/>
        <v>1.6733661478795341</v>
      </c>
      <c r="I29" s="10"/>
      <c r="J29" s="10"/>
      <c r="K29" s="10"/>
      <c r="L29" s="10"/>
    </row>
    <row r="30" spans="1:12" x14ac:dyDescent="0.3">
      <c r="A30" s="21" t="s">
        <v>7</v>
      </c>
      <c r="B30" s="9">
        <v>2020</v>
      </c>
      <c r="C30" s="10">
        <v>208.5295989815404</v>
      </c>
      <c r="D30" s="10">
        <v>213.42534504391469</v>
      </c>
      <c r="E30" s="11">
        <f t="shared" ref="E30:E34" si="4">(D30-C30)/C30</f>
        <v>2.3477463565293052E-2</v>
      </c>
      <c r="F30" s="10">
        <f t="shared" si="1"/>
        <v>4.8957460623742861</v>
      </c>
      <c r="I30" s="10"/>
      <c r="J30" s="10"/>
      <c r="K30" s="10"/>
      <c r="L30" s="10"/>
    </row>
    <row r="31" spans="1:12" x14ac:dyDescent="0.3">
      <c r="A31" s="21" t="s">
        <v>7</v>
      </c>
      <c r="B31" s="9">
        <v>2025</v>
      </c>
      <c r="C31" s="10">
        <v>226.86187141947804</v>
      </c>
      <c r="D31" s="10">
        <v>217.94228356336262</v>
      </c>
      <c r="E31" s="11">
        <f t="shared" si="4"/>
        <v>-3.9317262968454864E-2</v>
      </c>
      <c r="F31" s="10">
        <f t="shared" si="1"/>
        <v>-8.9195878561154132</v>
      </c>
      <c r="I31" s="10"/>
      <c r="J31" s="10"/>
      <c r="K31" s="10"/>
      <c r="L31" s="10"/>
    </row>
    <row r="32" spans="1:12" x14ac:dyDescent="0.3">
      <c r="A32" s="21" t="s">
        <v>7</v>
      </c>
      <c r="B32" s="9">
        <v>2030</v>
      </c>
      <c r="C32" s="10">
        <v>241.75684277530235</v>
      </c>
      <c r="D32" s="10">
        <v>217.94228356336262</v>
      </c>
      <c r="E32" s="11">
        <f t="shared" si="4"/>
        <v>-9.8506246766606922E-2</v>
      </c>
      <c r="F32" s="10">
        <f t="shared" si="1"/>
        <v>-23.814559211939724</v>
      </c>
      <c r="I32" s="10"/>
      <c r="J32" s="10"/>
      <c r="K32" s="10"/>
      <c r="L32" s="10"/>
    </row>
    <row r="33" spans="1:12" x14ac:dyDescent="0.3">
      <c r="A33" s="21" t="s">
        <v>7</v>
      </c>
      <c r="B33" s="9">
        <v>2040</v>
      </c>
      <c r="C33" s="10">
        <v>266.96371737746659</v>
      </c>
      <c r="D33" s="10">
        <v>190.84065244667505</v>
      </c>
      <c r="E33" s="11">
        <f t="shared" si="4"/>
        <v>-0.28514386029154387</v>
      </c>
      <c r="F33" s="10">
        <f t="shared" si="1"/>
        <v>-76.123064930791543</v>
      </c>
      <c r="I33" s="10"/>
      <c r="J33" s="10"/>
      <c r="K33" s="10"/>
      <c r="L33" s="10"/>
    </row>
    <row r="34" spans="1:12" x14ac:dyDescent="0.3">
      <c r="A34" s="21" t="s">
        <v>7</v>
      </c>
      <c r="B34" s="9">
        <v>2050</v>
      </c>
      <c r="C34" s="10">
        <v>287.58752387014641</v>
      </c>
      <c r="D34" s="10">
        <v>137.76662484316185</v>
      </c>
      <c r="E34" s="11">
        <f t="shared" si="4"/>
        <v>-0.52095757496988215</v>
      </c>
      <c r="F34" s="10">
        <f t="shared" si="1"/>
        <v>-149.82089902698456</v>
      </c>
      <c r="I34" s="10"/>
      <c r="J34" s="10"/>
      <c r="K34" s="10"/>
      <c r="L34" s="10"/>
    </row>
    <row r="36" spans="1:12" x14ac:dyDescent="0.3">
      <c r="A36" s="9" t="s">
        <v>17</v>
      </c>
    </row>
    <row r="37" spans="1:12" x14ac:dyDescent="0.3">
      <c r="A37" s="9" t="s">
        <v>18</v>
      </c>
    </row>
    <row r="39" spans="1:12" x14ac:dyDescent="0.3">
      <c r="C39" s="73" t="s">
        <v>23</v>
      </c>
      <c r="D39" s="73"/>
      <c r="E39" s="72" t="s">
        <v>27</v>
      </c>
      <c r="F39" s="72"/>
    </row>
    <row r="40" spans="1:12" ht="14.4" customHeight="1" x14ac:dyDescent="0.3">
      <c r="A40" s="6"/>
      <c r="B40" s="6"/>
      <c r="C40" s="71" t="s">
        <v>16</v>
      </c>
      <c r="D40" s="71"/>
      <c r="E40" s="72"/>
      <c r="F40" s="72"/>
    </row>
    <row r="41" spans="1:12" ht="24" x14ac:dyDescent="0.3">
      <c r="A41" s="17"/>
      <c r="B41" s="12" t="s">
        <v>11</v>
      </c>
      <c r="C41" s="16" t="s">
        <v>14</v>
      </c>
      <c r="D41" s="16" t="s">
        <v>15</v>
      </c>
      <c r="E41" s="16" t="s">
        <v>28</v>
      </c>
      <c r="F41" s="16" t="s">
        <v>29</v>
      </c>
      <c r="G41" s="16" t="s">
        <v>10</v>
      </c>
      <c r="H41" s="16" t="s">
        <v>9</v>
      </c>
      <c r="I41" s="5"/>
    </row>
    <row r="42" spans="1:12" x14ac:dyDescent="0.3">
      <c r="A42" s="12"/>
      <c r="C42" s="12" t="s">
        <v>0</v>
      </c>
      <c r="D42" s="12" t="s">
        <v>0</v>
      </c>
      <c r="E42" s="12" t="s">
        <v>13</v>
      </c>
      <c r="F42" s="12" t="s">
        <v>13</v>
      </c>
      <c r="G42" s="12" t="s">
        <v>13</v>
      </c>
      <c r="H42" s="12" t="s">
        <v>13</v>
      </c>
    </row>
    <row r="43" spans="1:12" x14ac:dyDescent="0.3">
      <c r="B43" s="9">
        <v>2015</v>
      </c>
      <c r="C43" s="22">
        <f>SUMIF($B$5:$B$34,B43,$C$5:$C$34)</f>
        <v>884.53214513049011</v>
      </c>
      <c r="D43" s="22">
        <f>SUMIF($B$5:$B$34,B43,$D$5:$D$34)</f>
        <v>1003.8895859473025</v>
      </c>
      <c r="E43" s="25">
        <f>F17/(D43-C43)</f>
        <v>0.86124142582700469</v>
      </c>
      <c r="F43" s="25">
        <f>((D11+D29)-(C11+C29))/(D43-C43)</f>
        <v>0.10964101390536656</v>
      </c>
      <c r="G43" s="25">
        <f>F5/(D43-C43)</f>
        <v>-5.9560014694279954E-3</v>
      </c>
      <c r="H43" s="25">
        <f>F23/(D43-C43)</f>
        <v>3.5073561737056648E-2</v>
      </c>
      <c r="I43" s="26">
        <f>SUM(E43:H43)</f>
        <v>0.99999999999999989</v>
      </c>
    </row>
    <row r="44" spans="1:12" x14ac:dyDescent="0.3">
      <c r="B44" s="9">
        <v>2020</v>
      </c>
      <c r="C44" s="22">
        <f t="shared" ref="C44:C48" si="5">SUMIF($B$5:$B$34,B44,$C$5:$C$34)</f>
        <v>991.08847867600252</v>
      </c>
      <c r="D44" s="22">
        <f t="shared" ref="D44:D48" si="6">SUMIF($B$5:$B$34,B44,$D$5:$D$34)</f>
        <v>998.23350062735256</v>
      </c>
      <c r="E44" s="25">
        <f t="shared" ref="E44:E48" si="7">F18/(D44-C44)</f>
        <v>1.3942572597755514</v>
      </c>
      <c r="F44" s="25">
        <f>((D12+D30)-(C12+C30))/(D44-C44)</f>
        <v>1.0528952489949075</v>
      </c>
      <c r="G44" s="25">
        <f t="shared" ref="G44:G48" si="8">F6/(D44-C44)</f>
        <v>-1.3985619865781722</v>
      </c>
      <c r="H44" s="25">
        <f t="shared" ref="H44:H48" si="9">F24/(D44-C44)</f>
        <v>-4.8590522192292589E-2</v>
      </c>
      <c r="I44" s="26">
        <f t="shared" ref="I44:I48" si="10">SUM(E44:H44)</f>
        <v>0.99999999999999389</v>
      </c>
    </row>
    <row r="45" spans="1:12" x14ac:dyDescent="0.3">
      <c r="B45" s="9">
        <v>2025</v>
      </c>
      <c r="C45" s="22">
        <f t="shared" si="5"/>
        <v>1083.8956078930619</v>
      </c>
      <c r="D45" s="22">
        <f t="shared" si="6"/>
        <v>997.11417816813048</v>
      </c>
      <c r="E45" s="25">
        <f t="shared" si="7"/>
        <v>0.87321400468810662</v>
      </c>
      <c r="F45" s="25">
        <f>((D13+D31)-(C13+C31))/(D45-C45)</f>
        <v>8.456817221757397E-2</v>
      </c>
      <c r="G45" s="25">
        <f>F7/(D45-C45)</f>
        <v>1.0858851496301541E-2</v>
      </c>
      <c r="H45" s="25">
        <f t="shared" si="9"/>
        <v>3.1358971598015373E-2</v>
      </c>
      <c r="I45" s="26">
        <f t="shared" si="10"/>
        <v>0.99999999999999745</v>
      </c>
    </row>
    <row r="46" spans="1:12" x14ac:dyDescent="0.3">
      <c r="B46" s="9">
        <v>2030</v>
      </c>
      <c r="C46" s="22">
        <f t="shared" si="5"/>
        <v>1190.4519414385741</v>
      </c>
      <c r="D46" s="22">
        <f t="shared" si="6"/>
        <v>1006.1480552070265</v>
      </c>
      <c r="E46" s="25">
        <f t="shared" si="7"/>
        <v>0.80371287611396058</v>
      </c>
      <c r="F46" s="25">
        <f t="shared" ref="F46:F48" si="11">((D14+D32)-(C14+C32))/(D46-C46)</f>
        <v>0.21938729743959764</v>
      </c>
      <c r="G46" s="25">
        <f>F8/(D46-C46)</f>
        <v>-5.6516058579200931E-2</v>
      </c>
      <c r="H46" s="25">
        <f t="shared" si="9"/>
        <v>3.341588502564305E-2</v>
      </c>
      <c r="I46" s="26">
        <f t="shared" si="10"/>
        <v>1.0000000000000004</v>
      </c>
    </row>
    <row r="47" spans="1:12" x14ac:dyDescent="0.3">
      <c r="B47" s="9">
        <v>2040</v>
      </c>
      <c r="C47" s="22">
        <f t="shared" si="5"/>
        <v>1412.730744748568</v>
      </c>
      <c r="D47" s="22">
        <f t="shared" si="6"/>
        <v>939.52321204516943</v>
      </c>
      <c r="E47" s="25">
        <f t="shared" si="7"/>
        <v>0.72398189357920784</v>
      </c>
      <c r="F47" s="25">
        <f t="shared" si="11"/>
        <v>0.28677259125362647</v>
      </c>
      <c r="G47" s="25">
        <f>F9/(D47-C47)</f>
        <v>2.2708975741649361E-3</v>
      </c>
      <c r="H47" s="25">
        <f t="shared" si="9"/>
        <v>-1.3025382406999528E-2</v>
      </c>
      <c r="I47" s="26">
        <f t="shared" si="10"/>
        <v>0.99999999999999967</v>
      </c>
    </row>
    <row r="48" spans="1:12" x14ac:dyDescent="0.3">
      <c r="B48" s="9">
        <v>2050</v>
      </c>
      <c r="C48" s="22">
        <f t="shared" si="5"/>
        <v>1654.4875875238702</v>
      </c>
      <c r="D48" s="22">
        <f t="shared" si="6"/>
        <v>920.32622333751567</v>
      </c>
      <c r="E48" s="25">
        <f t="shared" si="7"/>
        <v>0.72107686629050549</v>
      </c>
      <c r="F48" s="25">
        <f t="shared" si="11"/>
        <v>0.27158397878929397</v>
      </c>
      <c r="G48" s="25">
        <f t="shared" si="8"/>
        <v>2.1729616368586915E-2</v>
      </c>
      <c r="H48" s="25">
        <f t="shared" si="9"/>
        <v>-1.4390461448386545E-2</v>
      </c>
      <c r="I48" s="26">
        <f t="shared" si="10"/>
        <v>0.99999999999999978</v>
      </c>
    </row>
    <row r="61" spans="1:7" x14ac:dyDescent="0.3">
      <c r="A61" s="9"/>
      <c r="B61" s="9"/>
      <c r="C61" s="10"/>
      <c r="D61" s="10"/>
      <c r="E61" s="11"/>
      <c r="F61" s="10"/>
      <c r="G61" s="25"/>
    </row>
    <row r="62" spans="1:7" x14ac:dyDescent="0.3">
      <c r="A62" s="9"/>
      <c r="B62" s="9"/>
      <c r="C62" s="10"/>
      <c r="D62" s="10"/>
      <c r="E62" s="11"/>
      <c r="F62" s="10"/>
      <c r="G62" s="25"/>
    </row>
    <row r="63" spans="1:7" x14ac:dyDescent="0.3">
      <c r="A63" s="9"/>
      <c r="B63" s="9"/>
      <c r="C63" s="10"/>
      <c r="D63" s="10"/>
      <c r="E63" s="11"/>
      <c r="F63" s="10"/>
      <c r="G63" s="25"/>
    </row>
    <row r="64" spans="1:7" x14ac:dyDescent="0.3">
      <c r="A64" s="9"/>
      <c r="B64" s="9"/>
      <c r="C64" s="10"/>
      <c r="D64" s="10"/>
      <c r="E64" s="11"/>
      <c r="F64" s="10"/>
      <c r="G64" s="25"/>
    </row>
    <row r="65" spans="1:7" x14ac:dyDescent="0.3">
      <c r="A65" s="21"/>
      <c r="B65" s="9"/>
      <c r="C65" s="10"/>
      <c r="D65" s="10"/>
      <c r="E65" s="11"/>
      <c r="F65" s="10"/>
      <c r="G65" s="25"/>
    </row>
    <row r="66" spans="1:7" x14ac:dyDescent="0.3">
      <c r="C66" s="4"/>
      <c r="D66" s="4"/>
      <c r="E66" s="4"/>
      <c r="F66" s="4"/>
    </row>
  </sheetData>
  <autoFilter ref="A4:F34" xr:uid="{A0D437A9-4981-4E6D-BA93-C1A885A05060}"/>
  <mergeCells count="5">
    <mergeCell ref="C2:D2"/>
    <mergeCell ref="E2:F2"/>
    <mergeCell ref="C40:D40"/>
    <mergeCell ref="C39:D39"/>
    <mergeCell ref="E39:F40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7986D-F53B-4449-A47B-2105221EAD41}">
  <dimension ref="A2:Q81"/>
  <sheetViews>
    <sheetView topLeftCell="A30" zoomScale="70" zoomScaleNormal="70" workbookViewId="0">
      <selection activeCell="AB57" sqref="AB57"/>
    </sheetView>
  </sheetViews>
  <sheetFormatPr defaultRowHeight="14.4" x14ac:dyDescent="0.3"/>
  <cols>
    <col min="2" max="2" width="11.88671875" bestFit="1" customWidth="1"/>
    <col min="3" max="3" width="7.5546875" hidden="1" customWidth="1"/>
    <col min="4" max="4" width="15.21875" customWidth="1"/>
    <col min="5" max="6" width="15.21875" hidden="1" customWidth="1"/>
    <col min="7" max="7" width="16" customWidth="1"/>
    <col min="8" max="8" width="13.88671875" customWidth="1"/>
    <col min="10" max="14" width="11.6640625" customWidth="1"/>
    <col min="15" max="15" width="10.88671875" bestFit="1" customWidth="1"/>
  </cols>
  <sheetData>
    <row r="2" spans="1:16" x14ac:dyDescent="0.3">
      <c r="C2" s="69" t="s">
        <v>2</v>
      </c>
      <c r="D2" s="69"/>
      <c r="E2" s="14"/>
      <c r="F2" s="69" t="s">
        <v>3</v>
      </c>
      <c r="G2" s="69"/>
      <c r="H2" s="29"/>
    </row>
    <row r="3" spans="1:16" x14ac:dyDescent="0.3">
      <c r="A3" t="s">
        <v>11</v>
      </c>
      <c r="B3" t="s">
        <v>12</v>
      </c>
      <c r="C3" t="s">
        <v>1</v>
      </c>
      <c r="D3" s="14" t="s">
        <v>0</v>
      </c>
      <c r="E3" s="14"/>
      <c r="F3" s="14" t="s">
        <v>1</v>
      </c>
      <c r="G3" s="14" t="s">
        <v>0</v>
      </c>
      <c r="H3" s="29"/>
      <c r="I3" s="5"/>
      <c r="J3" s="5"/>
      <c r="K3" s="5"/>
      <c r="L3" s="5"/>
      <c r="M3" s="12" t="s">
        <v>0</v>
      </c>
      <c r="N3" s="12" t="s">
        <v>0</v>
      </c>
      <c r="O3" s="9"/>
      <c r="P3" s="9"/>
    </row>
    <row r="4" spans="1:16" x14ac:dyDescent="0.3">
      <c r="B4" s="3" t="s">
        <v>5</v>
      </c>
      <c r="C4">
        <v>16.09</v>
      </c>
      <c r="D4">
        <v>1800</v>
      </c>
      <c r="F4">
        <v>16.09</v>
      </c>
      <c r="G4">
        <v>1800</v>
      </c>
      <c r="L4" s="12" t="s">
        <v>11</v>
      </c>
      <c r="M4" s="16" t="s">
        <v>2</v>
      </c>
      <c r="N4" s="9" t="s">
        <v>34</v>
      </c>
      <c r="O4" s="9"/>
      <c r="P4" s="9" t="s">
        <v>4</v>
      </c>
    </row>
    <row r="5" spans="1:16" s="30" customFormat="1" x14ac:dyDescent="0.3">
      <c r="A5" s="31">
        <v>2015</v>
      </c>
      <c r="B5" s="31" t="s">
        <v>7</v>
      </c>
      <c r="C5" s="31">
        <v>1.78</v>
      </c>
      <c r="D5" s="32">
        <f t="shared" ref="D5:D52" si="0">$D$4*C5/$C$4</f>
        <v>199.12989434431324</v>
      </c>
      <c r="E5" s="31"/>
      <c r="F5" s="31">
        <v>1.78</v>
      </c>
      <c r="G5" s="32">
        <f t="shared" ref="G5:G52" si="1">$G$4*F5/$F$4</f>
        <v>199.12989434431324</v>
      </c>
      <c r="H5" s="33">
        <f>G5-D5</f>
        <v>0</v>
      </c>
      <c r="L5" s="9">
        <v>2015</v>
      </c>
      <c r="M5" s="39">
        <f t="shared" ref="M5:M12" si="2">SUMIF($A$5:$A$52,L5,$D$5:$D$52)</f>
        <v>895.49999999999989</v>
      </c>
      <c r="N5" s="40">
        <f>M5+H8</f>
        <v>877.60068365444374</v>
      </c>
      <c r="O5" s="40">
        <f>N5-M5</f>
        <v>-17.899316345556144</v>
      </c>
      <c r="P5" s="41">
        <f>O5/M5</f>
        <v>-1.9988069620944886E-2</v>
      </c>
    </row>
    <row r="6" spans="1:16" s="30" customFormat="1" x14ac:dyDescent="0.3">
      <c r="A6" s="31">
        <v>2015</v>
      </c>
      <c r="B6" s="31" t="s">
        <v>8</v>
      </c>
      <c r="C6" s="31">
        <v>0.63</v>
      </c>
      <c r="D6" s="32">
        <f t="shared" si="0"/>
        <v>70.478558110627716</v>
      </c>
      <c r="E6" s="31"/>
      <c r="F6" s="31">
        <v>0.71</v>
      </c>
      <c r="G6" s="32">
        <f t="shared" si="1"/>
        <v>79.428216283405845</v>
      </c>
      <c r="H6" s="33">
        <f t="shared" ref="H6:H52" si="3">G6-D6</f>
        <v>8.949658172778129</v>
      </c>
      <c r="L6" s="9">
        <v>2020</v>
      </c>
      <c r="M6" s="39">
        <f t="shared" si="2"/>
        <v>998.8</v>
      </c>
      <c r="N6" s="40">
        <f>M6+H14</f>
        <v>968.59490366687385</v>
      </c>
      <c r="O6" s="40">
        <f t="shared" ref="O6:O12" si="4">N6-M6</f>
        <v>-30.205096333126107</v>
      </c>
      <c r="P6" s="41">
        <f t="shared" ref="P6:P12" si="5">O6/M6</f>
        <v>-3.0241385996321694E-2</v>
      </c>
    </row>
    <row r="7" spans="1:16" s="30" customFormat="1" x14ac:dyDescent="0.3">
      <c r="A7" s="31">
        <v>2015</v>
      </c>
      <c r="B7" s="31" t="s">
        <v>30</v>
      </c>
      <c r="C7" s="31">
        <v>895.5</v>
      </c>
      <c r="D7" s="32">
        <f>C7-D5-D6-D8-D9-D10</f>
        <v>5.0090118085767372</v>
      </c>
      <c r="E7" s="31"/>
      <c r="F7" s="31">
        <v>895.5</v>
      </c>
      <c r="G7" s="32">
        <f>F7-G5-G6-G8-G9-G10</f>
        <v>10.602548166563018</v>
      </c>
      <c r="H7" s="33">
        <f t="shared" si="3"/>
        <v>5.5935363579862809</v>
      </c>
      <c r="L7" s="9">
        <v>2025</v>
      </c>
      <c r="M7" s="39">
        <f t="shared" si="2"/>
        <v>1095.9000000000003</v>
      </c>
      <c r="N7" s="40">
        <f>M7+H20</f>
        <v>1024.3027346177753</v>
      </c>
      <c r="O7" s="40">
        <f t="shared" si="4"/>
        <v>-71.597265382225032</v>
      </c>
      <c r="P7" s="41">
        <f t="shared" si="5"/>
        <v>-6.5331933006866516E-2</v>
      </c>
    </row>
    <row r="8" spans="1:16" s="30" customFormat="1" x14ac:dyDescent="0.3">
      <c r="A8" s="31">
        <v>2015</v>
      </c>
      <c r="B8" s="31" t="s">
        <v>6</v>
      </c>
      <c r="C8" s="31">
        <v>4.9000000000000004</v>
      </c>
      <c r="D8" s="32">
        <f>$D$4*C8/$C$4</f>
        <v>548.16656308265999</v>
      </c>
      <c r="E8" s="31"/>
      <c r="F8" s="31">
        <v>4.74</v>
      </c>
      <c r="G8" s="32">
        <f>$G$4*F8/$F$4</f>
        <v>530.26724673710385</v>
      </c>
      <c r="H8" s="33">
        <f t="shared" si="3"/>
        <v>-17.899316345556144</v>
      </c>
      <c r="L8" s="9">
        <v>2030</v>
      </c>
      <c r="M8" s="39">
        <f t="shared" si="2"/>
        <v>1202.8</v>
      </c>
      <c r="N8" s="40">
        <f>M8+H26</f>
        <v>1052.8932256059666</v>
      </c>
      <c r="O8" s="40">
        <f t="shared" si="4"/>
        <v>-149.90677439403339</v>
      </c>
      <c r="P8" s="41">
        <f t="shared" si="5"/>
        <v>-0.12463150514967858</v>
      </c>
    </row>
    <row r="9" spans="1:16" s="30" customFormat="1" x14ac:dyDescent="0.3">
      <c r="A9" s="31">
        <v>2015</v>
      </c>
      <c r="B9" s="31" t="s">
        <v>9</v>
      </c>
      <c r="C9" s="31">
        <v>0.22</v>
      </c>
      <c r="D9" s="32">
        <f t="shared" si="0"/>
        <v>24.611559975139837</v>
      </c>
      <c r="E9" s="31"/>
      <c r="F9" s="31">
        <v>0.27</v>
      </c>
      <c r="G9" s="32">
        <f t="shared" si="1"/>
        <v>30.205096333126168</v>
      </c>
      <c r="H9" s="33">
        <f t="shared" si="3"/>
        <v>5.5935363579863306</v>
      </c>
      <c r="L9" s="9">
        <v>2035</v>
      </c>
      <c r="M9" s="39">
        <f t="shared" si="2"/>
        <v>1317.7000000000003</v>
      </c>
      <c r="N9" s="40">
        <f>M9+H32</f>
        <v>1108.5017402113117</v>
      </c>
      <c r="O9" s="40">
        <f t="shared" si="4"/>
        <v>-209.19825978868857</v>
      </c>
      <c r="P9" s="41">
        <f t="shared" si="5"/>
        <v>-0.15876015769043678</v>
      </c>
    </row>
    <row r="10" spans="1:16" s="30" customFormat="1" x14ac:dyDescent="0.3">
      <c r="A10" s="31">
        <v>2015</v>
      </c>
      <c r="B10" s="31" t="s">
        <v>10</v>
      </c>
      <c r="C10" s="31">
        <v>0.43</v>
      </c>
      <c r="D10" s="32">
        <f t="shared" si="0"/>
        <v>48.104412678682415</v>
      </c>
      <c r="E10" s="31"/>
      <c r="F10" s="31">
        <v>0.41</v>
      </c>
      <c r="G10" s="32">
        <f t="shared" si="1"/>
        <v>45.866998135487883</v>
      </c>
      <c r="H10" s="33">
        <f t="shared" si="3"/>
        <v>-2.2374145431945323</v>
      </c>
      <c r="I10" s="37">
        <f>SUM(H5:H10)</f>
        <v>6.3948846218409017E-14</v>
      </c>
      <c r="L10" s="9">
        <v>2040</v>
      </c>
      <c r="M10" s="39">
        <f t="shared" si="2"/>
        <v>1432.1</v>
      </c>
      <c r="N10" s="40">
        <f>M10+H38</f>
        <v>1093.1316967060284</v>
      </c>
      <c r="O10" s="40">
        <f t="shared" si="4"/>
        <v>-338.96830329397153</v>
      </c>
      <c r="P10" s="41">
        <f t="shared" si="5"/>
        <v>-0.23669318015080759</v>
      </c>
    </row>
    <row r="11" spans="1:16" x14ac:dyDescent="0.3">
      <c r="A11" s="34">
        <v>2020</v>
      </c>
      <c r="B11" s="34" t="s">
        <v>7</v>
      </c>
      <c r="C11" s="34">
        <v>1.87</v>
      </c>
      <c r="D11" s="35">
        <f t="shared" si="0"/>
        <v>209.19825978868863</v>
      </c>
      <c r="E11" s="34"/>
      <c r="F11" s="34">
        <v>1.91</v>
      </c>
      <c r="G11" s="35">
        <f t="shared" si="1"/>
        <v>213.6730888750777</v>
      </c>
      <c r="H11" s="36">
        <f t="shared" si="3"/>
        <v>4.4748290863890645</v>
      </c>
      <c r="L11" s="9">
        <v>2045</v>
      </c>
      <c r="M11" s="39">
        <f t="shared" si="2"/>
        <v>1572.2</v>
      </c>
      <c r="N11" s="40">
        <f>M11+H44</f>
        <v>1119.1235550031074</v>
      </c>
      <c r="O11" s="40">
        <f t="shared" si="4"/>
        <v>-453.07644499689263</v>
      </c>
      <c r="P11" s="41">
        <f t="shared" si="5"/>
        <v>-0.28817990395426318</v>
      </c>
    </row>
    <row r="12" spans="1:16" x14ac:dyDescent="0.3">
      <c r="A12" s="34">
        <v>2020</v>
      </c>
      <c r="B12" s="34" t="s">
        <v>8</v>
      </c>
      <c r="C12" s="34">
        <v>0.48</v>
      </c>
      <c r="D12" s="35">
        <f t="shared" si="0"/>
        <v>53.697949036668739</v>
      </c>
      <c r="E12" s="34"/>
      <c r="F12" s="34">
        <v>0.48</v>
      </c>
      <c r="G12" s="35">
        <f t="shared" si="1"/>
        <v>53.697949036668739</v>
      </c>
      <c r="H12" s="36">
        <f t="shared" si="3"/>
        <v>0</v>
      </c>
      <c r="L12" s="9">
        <v>2050</v>
      </c>
      <c r="M12" s="39">
        <f t="shared" si="2"/>
        <v>1667.1</v>
      </c>
      <c r="N12" s="40">
        <f>M12+H50</f>
        <v>1139.0701678060907</v>
      </c>
      <c r="O12" s="40">
        <f t="shared" si="4"/>
        <v>-528.02983219390921</v>
      </c>
      <c r="P12" s="41">
        <f t="shared" si="5"/>
        <v>-0.31673554807384635</v>
      </c>
    </row>
    <row r="13" spans="1:16" x14ac:dyDescent="0.3">
      <c r="A13" s="34">
        <v>2020</v>
      </c>
      <c r="B13" s="34" t="s">
        <v>30</v>
      </c>
      <c r="C13" s="34">
        <v>998.8</v>
      </c>
      <c r="D13" s="35">
        <f>C13-D11-D12-D14-D15-D16</f>
        <v>8.7440646364200987</v>
      </c>
      <c r="E13" s="34"/>
      <c r="F13" s="34">
        <v>971</v>
      </c>
      <c r="G13" s="35">
        <f>F13-G11-G12-G14-G15-G16</f>
        <v>11.149160969546166</v>
      </c>
      <c r="H13" s="36">
        <f t="shared" si="3"/>
        <v>2.4050963331260675</v>
      </c>
    </row>
    <row r="14" spans="1:16" x14ac:dyDescent="0.3">
      <c r="A14" s="34">
        <v>2020</v>
      </c>
      <c r="B14" s="34" t="s">
        <v>6</v>
      </c>
      <c r="C14" s="34">
        <v>5.72</v>
      </c>
      <c r="D14" s="35">
        <f>$D$4*C14/$C$4</f>
        <v>639.9005593536358</v>
      </c>
      <c r="E14" s="34"/>
      <c r="F14" s="34">
        <v>5.45</v>
      </c>
      <c r="G14" s="35">
        <f>$G$4*F14/$F$4</f>
        <v>609.69546302050969</v>
      </c>
      <c r="H14" s="36">
        <f t="shared" si="3"/>
        <v>-30.205096333126107</v>
      </c>
    </row>
    <row r="15" spans="1:16" x14ac:dyDescent="0.3">
      <c r="A15" s="34">
        <v>2020</v>
      </c>
      <c r="B15" s="34" t="s">
        <v>9</v>
      </c>
      <c r="C15" s="34">
        <v>0.21</v>
      </c>
      <c r="D15" s="35">
        <f t="shared" si="0"/>
        <v>23.492852703542574</v>
      </c>
      <c r="E15" s="34"/>
      <c r="F15" s="34">
        <v>0.28000000000000003</v>
      </c>
      <c r="G15" s="35">
        <f t="shared" si="1"/>
        <v>31.323803604723434</v>
      </c>
      <c r="H15" s="36">
        <f t="shared" si="3"/>
        <v>7.8309509011808593</v>
      </c>
    </row>
    <row r="16" spans="1:16" x14ac:dyDescent="0.3">
      <c r="A16" s="34">
        <v>2020</v>
      </c>
      <c r="B16" s="34" t="s">
        <v>10</v>
      </c>
      <c r="C16" s="34">
        <v>0.56999999999999995</v>
      </c>
      <c r="D16" s="35">
        <f t="shared" si="0"/>
        <v>63.766314481044127</v>
      </c>
      <c r="E16" s="34"/>
      <c r="F16" s="34">
        <v>0.46</v>
      </c>
      <c r="G16" s="35">
        <f t="shared" si="1"/>
        <v>51.460534493474206</v>
      </c>
      <c r="H16" s="36">
        <f t="shared" si="3"/>
        <v>-12.30577998756992</v>
      </c>
      <c r="I16" s="37">
        <f>SUM(H11:H16)</f>
        <v>-27.800000000000036</v>
      </c>
    </row>
    <row r="17" spans="1:16" x14ac:dyDescent="0.3">
      <c r="A17" s="31">
        <v>2025</v>
      </c>
      <c r="B17" s="31" t="s">
        <v>7</v>
      </c>
      <c r="C17" s="31">
        <v>2.0499999999999998</v>
      </c>
      <c r="D17" s="32">
        <f t="shared" si="0"/>
        <v>229.33499067743938</v>
      </c>
      <c r="E17" s="31"/>
      <c r="F17" s="31">
        <v>2.0499999999999998</v>
      </c>
      <c r="G17" s="32">
        <f t="shared" si="1"/>
        <v>229.33499067743938</v>
      </c>
      <c r="H17" s="33">
        <f t="shared" si="3"/>
        <v>0</v>
      </c>
    </row>
    <row r="18" spans="1:16" x14ac:dyDescent="0.3">
      <c r="A18" s="31">
        <v>2025</v>
      </c>
      <c r="B18" s="31" t="s">
        <v>8</v>
      </c>
      <c r="C18" s="31">
        <v>0.43</v>
      </c>
      <c r="D18" s="32">
        <f t="shared" si="0"/>
        <v>48.104412678682415</v>
      </c>
      <c r="E18" s="31"/>
      <c r="F18" s="31">
        <v>0.43</v>
      </c>
      <c r="G18" s="32">
        <f t="shared" si="1"/>
        <v>48.104412678682415</v>
      </c>
      <c r="H18" s="33">
        <f t="shared" si="3"/>
        <v>0</v>
      </c>
    </row>
    <row r="19" spans="1:16" x14ac:dyDescent="0.3">
      <c r="A19" s="31">
        <v>2025</v>
      </c>
      <c r="B19" s="31" t="s">
        <v>30</v>
      </c>
      <c r="C19" s="31">
        <v>1095.9000000000001</v>
      </c>
      <c r="D19" s="32">
        <f>C19-D17-D18-D20-D21-D22</f>
        <v>8.5165320074582098</v>
      </c>
      <c r="E19" s="31"/>
      <c r="F19" s="31">
        <v>1026.2</v>
      </c>
      <c r="G19" s="32">
        <f>F19-G17-G18-G20-G21-G22</f>
        <v>10.413797389683197</v>
      </c>
      <c r="H19" s="33">
        <f t="shared" si="3"/>
        <v>1.8972653822249868</v>
      </c>
    </row>
    <row r="20" spans="1:16" x14ac:dyDescent="0.3">
      <c r="A20" s="31">
        <v>2025</v>
      </c>
      <c r="B20" s="31" t="s">
        <v>6</v>
      </c>
      <c r="C20" s="31">
        <v>6.38</v>
      </c>
      <c r="D20" s="32">
        <f>$D$4*C20/$C$4</f>
        <v>713.73523927905535</v>
      </c>
      <c r="E20" s="31"/>
      <c r="F20" s="31">
        <v>5.74</v>
      </c>
      <c r="G20" s="32">
        <f>$G$4*F20/$F$4</f>
        <v>642.13797389683032</v>
      </c>
      <c r="H20" s="33">
        <f t="shared" si="3"/>
        <v>-71.597265382225032</v>
      </c>
    </row>
    <row r="21" spans="1:16" x14ac:dyDescent="0.3">
      <c r="A21" s="31">
        <v>2025</v>
      </c>
      <c r="B21" s="31" t="s">
        <v>9</v>
      </c>
      <c r="C21" s="31">
        <v>0.27</v>
      </c>
      <c r="D21" s="32">
        <f t="shared" si="0"/>
        <v>30.205096333126168</v>
      </c>
      <c r="E21" s="31"/>
      <c r="F21" s="31">
        <v>0.27</v>
      </c>
      <c r="G21" s="32">
        <f t="shared" si="1"/>
        <v>30.205096333126168</v>
      </c>
      <c r="H21" s="33">
        <f t="shared" si="3"/>
        <v>0</v>
      </c>
    </row>
    <row r="22" spans="1:16" x14ac:dyDescent="0.3">
      <c r="A22" s="31">
        <v>2025</v>
      </c>
      <c r="B22" s="31" t="s">
        <v>10</v>
      </c>
      <c r="C22" s="31">
        <v>0.59</v>
      </c>
      <c r="D22" s="32">
        <f t="shared" si="0"/>
        <v>66.003729024238652</v>
      </c>
      <c r="E22" s="31"/>
      <c r="F22" s="31">
        <v>0.59</v>
      </c>
      <c r="G22" s="32">
        <f t="shared" si="1"/>
        <v>66.003729024238652</v>
      </c>
      <c r="H22" s="33">
        <f t="shared" si="3"/>
        <v>0</v>
      </c>
      <c r="I22" s="37">
        <f>SUM(H17:H22)</f>
        <v>-69.700000000000045</v>
      </c>
    </row>
    <row r="23" spans="1:16" x14ac:dyDescent="0.3">
      <c r="A23" s="34">
        <v>2030</v>
      </c>
      <c r="B23" s="34" t="s">
        <v>7</v>
      </c>
      <c r="C23" s="34">
        <v>2.19</v>
      </c>
      <c r="D23" s="35">
        <f t="shared" si="0"/>
        <v>244.99689247980112</v>
      </c>
      <c r="E23" s="34"/>
      <c r="F23" s="34">
        <v>1.96</v>
      </c>
      <c r="G23" s="35">
        <f t="shared" si="1"/>
        <v>219.26662523306402</v>
      </c>
      <c r="H23" s="36">
        <f t="shared" si="3"/>
        <v>-25.7302672467371</v>
      </c>
      <c r="L23" s="5"/>
      <c r="M23" s="12" t="s">
        <v>0</v>
      </c>
      <c r="N23" s="12" t="s">
        <v>0</v>
      </c>
    </row>
    <row r="24" spans="1:16" x14ac:dyDescent="0.3">
      <c r="A24" s="34">
        <v>2030</v>
      </c>
      <c r="B24" s="34" t="s">
        <v>8</v>
      </c>
      <c r="C24" s="34">
        <v>0.48</v>
      </c>
      <c r="D24" s="35">
        <f t="shared" si="0"/>
        <v>53.697949036668739</v>
      </c>
      <c r="E24" s="34"/>
      <c r="F24" s="34">
        <v>0.34</v>
      </c>
      <c r="G24" s="35">
        <f t="shared" si="1"/>
        <v>38.03604723430702</v>
      </c>
      <c r="H24" s="36">
        <f t="shared" si="3"/>
        <v>-15.661901802361719</v>
      </c>
      <c r="L24" s="12" t="s">
        <v>11</v>
      </c>
      <c r="M24" s="16" t="s">
        <v>14</v>
      </c>
      <c r="N24" t="s">
        <v>32</v>
      </c>
      <c r="P24" s="9" t="s">
        <v>4</v>
      </c>
    </row>
    <row r="25" spans="1:16" x14ac:dyDescent="0.3">
      <c r="A25" s="34">
        <v>2030</v>
      </c>
      <c r="B25" s="34" t="s">
        <v>30</v>
      </c>
      <c r="C25" s="34">
        <v>1202.8</v>
      </c>
      <c r="D25" s="35">
        <f>C25-D23-D24-D26-D27-D28</f>
        <v>13.614170292106841</v>
      </c>
      <c r="E25" s="34"/>
      <c r="F25" s="34">
        <v>1070.5</v>
      </c>
      <c r="G25" s="35">
        <f>F25-G23-G24-G26-G27-G28</f>
        <v>62.544748290863822</v>
      </c>
      <c r="H25" s="36">
        <f t="shared" si="3"/>
        <v>48.930577998756981</v>
      </c>
      <c r="L25" s="9">
        <v>2015</v>
      </c>
      <c r="M25" s="39">
        <f t="shared" ref="M25:M32" si="6">SUMIF($A$5:$A$52,L25,$D$5:$D$52)</f>
        <v>895.49999999999989</v>
      </c>
      <c r="N25" s="37">
        <f>M25+H5+H6</f>
        <v>904.44965817277807</v>
      </c>
      <c r="O25" s="37">
        <f>N25-M25</f>
        <v>8.9496581727781859</v>
      </c>
      <c r="P25" s="38">
        <f>O25/M25</f>
        <v>9.9940348104725699E-3</v>
      </c>
    </row>
    <row r="26" spans="1:16" x14ac:dyDescent="0.3">
      <c r="A26" s="34">
        <v>2030</v>
      </c>
      <c r="B26" s="34" t="s">
        <v>6</v>
      </c>
      <c r="C26" s="34">
        <v>7.15</v>
      </c>
      <c r="D26" s="35">
        <f>$D$4*C26/$C$4</f>
        <v>799.87569919204475</v>
      </c>
      <c r="E26" s="34"/>
      <c r="F26" s="34">
        <v>5.81</v>
      </c>
      <c r="G26" s="35">
        <f>$G$4*F26/$F$4</f>
        <v>649.96892479801124</v>
      </c>
      <c r="H26" s="36">
        <f t="shared" si="3"/>
        <v>-149.9067743940335</v>
      </c>
      <c r="L26" s="9">
        <v>2020</v>
      </c>
      <c r="M26" s="39">
        <f t="shared" si="6"/>
        <v>998.8</v>
      </c>
      <c r="N26" s="37">
        <f>M26+H11+H12</f>
        <v>1003.274829086389</v>
      </c>
      <c r="O26" s="37">
        <f t="shared" ref="O26:O32" si="7">N26-M26</f>
        <v>4.4748290863890361</v>
      </c>
      <c r="P26" s="38">
        <f t="shared" ref="P26:P32" si="8">O26/M26</f>
        <v>4.480205332788382E-3</v>
      </c>
    </row>
    <row r="27" spans="1:16" x14ac:dyDescent="0.3">
      <c r="A27" s="34">
        <v>2030</v>
      </c>
      <c r="B27" s="34" t="s">
        <v>9</v>
      </c>
      <c r="C27" s="34">
        <v>0.31</v>
      </c>
      <c r="D27" s="35">
        <f t="shared" si="0"/>
        <v>34.679925419515229</v>
      </c>
      <c r="E27" s="34"/>
      <c r="F27" s="34">
        <v>0.28000000000000003</v>
      </c>
      <c r="G27" s="35">
        <f t="shared" si="1"/>
        <v>31.323803604723434</v>
      </c>
      <c r="H27" s="36">
        <f t="shared" si="3"/>
        <v>-3.3561218147917948</v>
      </c>
      <c r="L27" s="9">
        <v>2025</v>
      </c>
      <c r="M27" s="39">
        <f t="shared" si="6"/>
        <v>1095.9000000000003</v>
      </c>
      <c r="N27" s="37">
        <f>M27+H23+H24</f>
        <v>1054.5078309509015</v>
      </c>
      <c r="O27" s="37">
        <f t="shared" si="7"/>
        <v>-41.392169049098811</v>
      </c>
      <c r="P27" s="38">
        <f t="shared" si="8"/>
        <v>-3.7770023769594673E-2</v>
      </c>
    </row>
    <row r="28" spans="1:16" x14ac:dyDescent="0.3">
      <c r="A28" s="34">
        <v>2030</v>
      </c>
      <c r="B28" s="34" t="s">
        <v>10</v>
      </c>
      <c r="C28" s="34">
        <v>0.5</v>
      </c>
      <c r="D28" s="35">
        <f t="shared" si="0"/>
        <v>55.935363579863271</v>
      </c>
      <c r="E28" s="34"/>
      <c r="F28" s="34">
        <v>0.62</v>
      </c>
      <c r="G28" s="35">
        <f t="shared" si="1"/>
        <v>69.359850839030457</v>
      </c>
      <c r="H28" s="36">
        <f t="shared" si="3"/>
        <v>13.424487259167186</v>
      </c>
      <c r="I28" s="37">
        <f>SUM(H23:H28)</f>
        <v>-132.29999999999995</v>
      </c>
      <c r="L28" s="9">
        <v>2030</v>
      </c>
      <c r="M28" s="39">
        <f t="shared" si="6"/>
        <v>1202.8</v>
      </c>
      <c r="N28" s="37">
        <f>M28+H23+H24</f>
        <v>1161.4078309509011</v>
      </c>
      <c r="O28" s="37">
        <f t="shared" si="7"/>
        <v>-41.392169049098811</v>
      </c>
      <c r="P28" s="38">
        <f t="shared" si="8"/>
        <v>-3.4413176795060535E-2</v>
      </c>
    </row>
    <row r="29" spans="1:16" x14ac:dyDescent="0.3">
      <c r="A29" s="31">
        <v>2035</v>
      </c>
      <c r="B29" s="31" t="s">
        <v>7</v>
      </c>
      <c r="C29" s="31">
        <v>2.33</v>
      </c>
      <c r="D29" s="32">
        <f t="shared" ref="D29:D30" si="9">$D$4*C29/$C$4</f>
        <v>260.65879428216283</v>
      </c>
      <c r="E29" s="31"/>
      <c r="F29" s="31">
        <v>1.79</v>
      </c>
      <c r="G29" s="32">
        <f t="shared" ref="G29:G30" si="10">$G$4*F29/$F$4</f>
        <v>200.2486016159105</v>
      </c>
      <c r="H29" s="33">
        <f t="shared" si="3"/>
        <v>-60.410192666252328</v>
      </c>
      <c r="L29" s="9">
        <v>2035</v>
      </c>
      <c r="M29" s="39">
        <f t="shared" si="6"/>
        <v>1317.7000000000003</v>
      </c>
      <c r="N29" s="37">
        <f>M29+H29+H30</f>
        <v>1239.3904909881917</v>
      </c>
      <c r="O29" s="37">
        <f t="shared" si="7"/>
        <v>-78.309509011808586</v>
      </c>
      <c r="P29" s="38">
        <f t="shared" si="8"/>
        <v>-5.9428936033853359E-2</v>
      </c>
    </row>
    <row r="30" spans="1:16" x14ac:dyDescent="0.3">
      <c r="A30" s="31">
        <v>2035</v>
      </c>
      <c r="B30" s="31" t="s">
        <v>8</v>
      </c>
      <c r="C30" s="31">
        <v>0.43</v>
      </c>
      <c r="D30" s="32">
        <f t="shared" si="9"/>
        <v>48.104412678682415</v>
      </c>
      <c r="E30" s="31"/>
      <c r="F30" s="31">
        <v>0.27</v>
      </c>
      <c r="G30" s="32">
        <f t="shared" si="10"/>
        <v>30.205096333126168</v>
      </c>
      <c r="H30" s="33">
        <f t="shared" si="3"/>
        <v>-17.899316345556247</v>
      </c>
      <c r="L30" s="9">
        <v>2040</v>
      </c>
      <c r="M30" s="39">
        <f t="shared" si="6"/>
        <v>1432.1</v>
      </c>
      <c r="N30" s="37">
        <f>M30+H35+H36</f>
        <v>1292.2615910503418</v>
      </c>
      <c r="O30" s="37">
        <f t="shared" si="7"/>
        <v>-139.83840894965806</v>
      </c>
      <c r="P30" s="38">
        <f t="shared" si="8"/>
        <v>-9.7645701382346253E-2</v>
      </c>
    </row>
    <row r="31" spans="1:16" x14ac:dyDescent="0.3">
      <c r="A31" s="31">
        <v>2035</v>
      </c>
      <c r="B31" s="31" t="s">
        <v>30</v>
      </c>
      <c r="C31" s="31">
        <v>1317.7</v>
      </c>
      <c r="D31" s="32">
        <f>C31-D29-D30-D32-D33-D34</f>
        <v>17.76215040397777</v>
      </c>
      <c r="E31" s="31"/>
      <c r="F31" s="31">
        <v>1131.7</v>
      </c>
      <c r="G31" s="32">
        <f>F31-G29-G30-G32-G33-G34</f>
        <v>138.28794282162835</v>
      </c>
      <c r="H31" s="33">
        <f t="shared" si="3"/>
        <v>120.52579241765058</v>
      </c>
      <c r="L31" s="9">
        <v>2045</v>
      </c>
      <c r="M31" s="39">
        <f t="shared" si="6"/>
        <v>1572.2</v>
      </c>
      <c r="N31" s="37">
        <f>M31+H41+H42</f>
        <v>1394.325543816035</v>
      </c>
      <c r="O31" s="37">
        <f t="shared" si="7"/>
        <v>-177.87445618396509</v>
      </c>
      <c r="P31" s="38">
        <f t="shared" si="8"/>
        <v>-0.11313729562648842</v>
      </c>
    </row>
    <row r="32" spans="1:16" x14ac:dyDescent="0.3">
      <c r="A32" s="31">
        <v>2035</v>
      </c>
      <c r="B32" s="31" t="s">
        <v>6</v>
      </c>
      <c r="C32" s="31">
        <v>7.77</v>
      </c>
      <c r="D32" s="32">
        <f>$D$4*C32/$C$4</f>
        <v>869.23555003107526</v>
      </c>
      <c r="E32" s="31"/>
      <c r="F32" s="31">
        <v>5.9</v>
      </c>
      <c r="G32" s="32">
        <f>$G$4*F32/$F$4</f>
        <v>660.03729024238658</v>
      </c>
      <c r="H32" s="33">
        <f t="shared" si="3"/>
        <v>-209.19825978868869</v>
      </c>
      <c r="L32" s="9">
        <v>2050</v>
      </c>
      <c r="M32" s="39">
        <f t="shared" si="6"/>
        <v>1667.1</v>
      </c>
      <c r="N32" s="37">
        <f>M32+H47+H48</f>
        <v>1466.8513983840894</v>
      </c>
      <c r="O32" s="37">
        <f t="shared" si="7"/>
        <v>-200.2486016159105</v>
      </c>
      <c r="P32" s="38">
        <f t="shared" si="8"/>
        <v>-0.12011793030766632</v>
      </c>
    </row>
    <row r="33" spans="1:17" x14ac:dyDescent="0.3">
      <c r="A33" s="31">
        <v>2035</v>
      </c>
      <c r="B33" s="31" t="s">
        <v>9</v>
      </c>
      <c r="C33" s="31">
        <v>0.44</v>
      </c>
      <c r="D33" s="32">
        <f t="shared" ref="D33:D34" si="11">$D$4*C33/$C$4</f>
        <v>49.223119950279674</v>
      </c>
      <c r="E33" s="31"/>
      <c r="F33" s="31">
        <v>0.27</v>
      </c>
      <c r="G33" s="32">
        <f t="shared" ref="G33:G34" si="12">$G$4*F33/$F$4</f>
        <v>30.205096333126168</v>
      </c>
      <c r="H33" s="33">
        <f t="shared" si="3"/>
        <v>-19.018023617153506</v>
      </c>
    </row>
    <row r="34" spans="1:17" x14ac:dyDescent="0.3">
      <c r="A34" s="31">
        <v>2035</v>
      </c>
      <c r="B34" s="31" t="s">
        <v>10</v>
      </c>
      <c r="C34" s="31">
        <v>0.65</v>
      </c>
      <c r="D34" s="32">
        <f t="shared" si="11"/>
        <v>72.715972653822249</v>
      </c>
      <c r="E34" s="31"/>
      <c r="F34" s="31">
        <v>0.65</v>
      </c>
      <c r="G34" s="32">
        <f t="shared" si="12"/>
        <v>72.715972653822249</v>
      </c>
      <c r="H34" s="33">
        <f t="shared" si="3"/>
        <v>0</v>
      </c>
      <c r="I34" s="37">
        <f>SUM(H29:H34)</f>
        <v>-186.0000000000002</v>
      </c>
    </row>
    <row r="35" spans="1:17" x14ac:dyDescent="0.3">
      <c r="A35" s="34">
        <v>2040</v>
      </c>
      <c r="B35" s="34" t="s">
        <v>7</v>
      </c>
      <c r="C35" s="34">
        <v>2.41</v>
      </c>
      <c r="D35" s="35">
        <f t="shared" si="0"/>
        <v>269.60845245494096</v>
      </c>
      <c r="E35" s="34"/>
      <c r="F35" s="34">
        <v>1.69</v>
      </c>
      <c r="G35" s="35">
        <f t="shared" si="1"/>
        <v>189.06152889993785</v>
      </c>
      <c r="H35" s="36">
        <f t="shared" si="3"/>
        <v>-80.546923555003104</v>
      </c>
    </row>
    <row r="36" spans="1:17" x14ac:dyDescent="0.3">
      <c r="A36" s="34">
        <v>2040</v>
      </c>
      <c r="B36" s="34" t="s">
        <v>8</v>
      </c>
      <c r="C36" s="34">
        <v>0.53</v>
      </c>
      <c r="D36" s="35">
        <f t="shared" si="0"/>
        <v>59.291485394655069</v>
      </c>
      <c r="E36" s="34"/>
      <c r="F36" s="34"/>
      <c r="G36" s="35">
        <f t="shared" si="1"/>
        <v>0</v>
      </c>
      <c r="H36" s="36">
        <f t="shared" si="3"/>
        <v>-59.291485394655069</v>
      </c>
    </row>
    <row r="37" spans="1:17" x14ac:dyDescent="0.3">
      <c r="A37" s="34">
        <v>2040</v>
      </c>
      <c r="B37" s="34" t="s">
        <v>30</v>
      </c>
      <c r="C37" s="34">
        <v>1432.1</v>
      </c>
      <c r="D37" s="35">
        <f>C37-D35-D36-D38-D39-D40</f>
        <v>16.935301429459187</v>
      </c>
      <c r="E37" s="34"/>
      <c r="F37" s="34">
        <v>1254.2</v>
      </c>
      <c r="G37" s="35">
        <f>F37-G35-G36-G38-G39-G40</f>
        <v>315.60459912989427</v>
      </c>
      <c r="H37" s="36">
        <f t="shared" si="3"/>
        <v>298.6692977004351</v>
      </c>
    </row>
    <row r="38" spans="1:17" x14ac:dyDescent="0.3">
      <c r="A38" s="34">
        <v>2040</v>
      </c>
      <c r="B38" s="34" t="s">
        <v>6</v>
      </c>
      <c r="C38" s="34">
        <v>8.66</v>
      </c>
      <c r="D38" s="35">
        <f>$D$4*C38/$C$4</f>
        <v>968.80049720323188</v>
      </c>
      <c r="E38" s="34"/>
      <c r="F38" s="34">
        <v>5.63</v>
      </c>
      <c r="G38" s="35">
        <f>$G$4*F38/$F$4</f>
        <v>629.83219390926047</v>
      </c>
      <c r="H38" s="36">
        <f t="shared" si="3"/>
        <v>-338.96830329397142</v>
      </c>
    </row>
    <row r="39" spans="1:17" x14ac:dyDescent="0.3">
      <c r="A39" s="34">
        <v>2040</v>
      </c>
      <c r="B39" s="34" t="s">
        <v>9</v>
      </c>
      <c r="C39" s="34">
        <v>0.41</v>
      </c>
      <c r="D39" s="35">
        <f t="shared" si="0"/>
        <v>45.866998135487883</v>
      </c>
      <c r="E39" s="34"/>
      <c r="F39" s="34">
        <v>0.44</v>
      </c>
      <c r="G39" s="35">
        <f t="shared" si="1"/>
        <v>49.223119950279674</v>
      </c>
      <c r="H39" s="36">
        <f t="shared" si="3"/>
        <v>3.3561218147917913</v>
      </c>
    </row>
    <row r="40" spans="1:17" x14ac:dyDescent="0.3">
      <c r="A40" s="34">
        <v>2040</v>
      </c>
      <c r="B40" s="34" t="s">
        <v>10</v>
      </c>
      <c r="C40" s="34">
        <v>0.64</v>
      </c>
      <c r="D40" s="35">
        <f t="shared" si="0"/>
        <v>71.59726538222499</v>
      </c>
      <c r="E40" s="34"/>
      <c r="F40" s="34">
        <v>0.63</v>
      </c>
      <c r="G40" s="35">
        <f t="shared" si="1"/>
        <v>70.478558110627716</v>
      </c>
      <c r="H40" s="36">
        <f t="shared" si="3"/>
        <v>-1.1187072715972732</v>
      </c>
      <c r="I40" s="37">
        <f>SUM(H35:H40)</f>
        <v>-177.89999999999998</v>
      </c>
    </row>
    <row r="41" spans="1:17" x14ac:dyDescent="0.3">
      <c r="A41" s="31">
        <v>2045</v>
      </c>
      <c r="B41" s="31" t="s">
        <v>7</v>
      </c>
      <c r="C41" s="31">
        <v>2.59</v>
      </c>
      <c r="D41" s="32">
        <f t="shared" ref="D41:D42" si="13">$D$4*C41/$C$4</f>
        <v>289.74518334369174</v>
      </c>
      <c r="E41" s="31"/>
      <c r="F41" s="31">
        <v>1.43</v>
      </c>
      <c r="G41" s="32">
        <f t="shared" ref="G41:G42" si="14">$G$4*F41/$F$4</f>
        <v>159.97513983840895</v>
      </c>
      <c r="H41" s="33">
        <f t="shared" si="3"/>
        <v>-129.77004350528279</v>
      </c>
    </row>
    <row r="42" spans="1:17" x14ac:dyDescent="0.3">
      <c r="A42" s="31">
        <v>2045</v>
      </c>
      <c r="B42" s="31" t="s">
        <v>8</v>
      </c>
      <c r="C42" s="31">
        <v>0.53</v>
      </c>
      <c r="D42" s="32">
        <f t="shared" si="13"/>
        <v>59.291485394655069</v>
      </c>
      <c r="E42" s="31"/>
      <c r="F42" s="31">
        <v>0.1</v>
      </c>
      <c r="G42" s="32">
        <f t="shared" si="14"/>
        <v>11.187072715972654</v>
      </c>
      <c r="H42" s="33">
        <f t="shared" si="3"/>
        <v>-48.104412678682415</v>
      </c>
      <c r="Q42">
        <f>INDEX(LINEST($P$46:$P$52,$L$46:$L$52,TRUE,FALSE),1)</f>
        <v>-1.4321439845363814E-2</v>
      </c>
    </row>
    <row r="43" spans="1:17" x14ac:dyDescent="0.3">
      <c r="A43" s="31">
        <v>2045</v>
      </c>
      <c r="B43" s="31" t="s">
        <v>30</v>
      </c>
      <c r="C43" s="31">
        <v>1572.2</v>
      </c>
      <c r="D43" s="32">
        <f>C43-D41-D42-D44-D45-D46</f>
        <v>17.196892479801065</v>
      </c>
      <c r="E43" s="31"/>
      <c r="F43" s="31">
        <v>1466.3</v>
      </c>
      <c r="G43" s="32">
        <f>F43-G41-G42-G44-G45-G46</f>
        <v>540.01037911746425</v>
      </c>
      <c r="H43" s="33">
        <f t="shared" si="3"/>
        <v>522.81348663766323</v>
      </c>
      <c r="L43" s="5"/>
      <c r="M43" s="12" t="s">
        <v>0</v>
      </c>
      <c r="N43" s="12" t="s">
        <v>0</v>
      </c>
      <c r="Q43">
        <f>INDEX(LINEST($P$46:$P$52,$L$46:$L$52,TRUE,FALSE),2)</f>
        <v>28.904329160657582</v>
      </c>
    </row>
    <row r="44" spans="1:17" x14ac:dyDescent="0.3">
      <c r="A44" s="31">
        <v>2045</v>
      </c>
      <c r="B44" s="31" t="s">
        <v>6</v>
      </c>
      <c r="C44" s="31">
        <v>9.6</v>
      </c>
      <c r="D44" s="32">
        <f>$D$4*C44/$C$4</f>
        <v>1073.9589807333748</v>
      </c>
      <c r="E44" s="31"/>
      <c r="F44" s="31">
        <v>5.55</v>
      </c>
      <c r="G44" s="32">
        <f>$G$4*F44/$F$4</f>
        <v>620.88253573648228</v>
      </c>
      <c r="H44" s="33">
        <f t="shared" si="3"/>
        <v>-453.07644499689252</v>
      </c>
      <c r="L44" s="12" t="s">
        <v>11</v>
      </c>
      <c r="M44" s="16" t="s">
        <v>2</v>
      </c>
      <c r="N44" t="s">
        <v>33</v>
      </c>
      <c r="P44" s="9" t="s">
        <v>4</v>
      </c>
    </row>
    <row r="45" spans="1:17" x14ac:dyDescent="0.3">
      <c r="A45" s="31">
        <v>2045</v>
      </c>
      <c r="B45" s="31" t="s">
        <v>9</v>
      </c>
      <c r="C45" s="31">
        <v>0.44</v>
      </c>
      <c r="D45" s="32">
        <f t="shared" ref="D45:D46" si="15">$D$4*C45/$C$4</f>
        <v>49.223119950279674</v>
      </c>
      <c r="E45" s="31"/>
      <c r="F45" s="31">
        <v>0.53</v>
      </c>
      <c r="G45" s="32">
        <f t="shared" ref="G45:G46" si="16">$G$4*F45/$F$4</f>
        <v>59.291485394655069</v>
      </c>
      <c r="H45" s="33">
        <f t="shared" si="3"/>
        <v>10.068365444375395</v>
      </c>
      <c r="L45" s="9">
        <v>2015</v>
      </c>
      <c r="M45" s="39">
        <f t="shared" ref="M45:M52" si="17">SUMIF($A$5:$A$52,L45,$D$5:$D$52)</f>
        <v>895.49999999999989</v>
      </c>
      <c r="N45" s="37">
        <f>N5+O25</f>
        <v>886.55034182722193</v>
      </c>
      <c r="O45" s="37">
        <f>N45-M45</f>
        <v>-8.9496581727779585</v>
      </c>
      <c r="P45" s="38">
        <f>O45/M45</f>
        <v>-9.9940348104723166E-3</v>
      </c>
    </row>
    <row r="46" spans="1:17" x14ac:dyDescent="0.3">
      <c r="A46" s="31">
        <v>2045</v>
      </c>
      <c r="B46" s="31" t="s">
        <v>10</v>
      </c>
      <c r="C46" s="31">
        <v>0.74</v>
      </c>
      <c r="D46" s="32">
        <f t="shared" si="15"/>
        <v>82.784338098197637</v>
      </c>
      <c r="E46" s="31"/>
      <c r="F46" s="31">
        <v>0.67</v>
      </c>
      <c r="G46" s="32">
        <f t="shared" si="16"/>
        <v>74.953387197016781</v>
      </c>
      <c r="H46" s="33">
        <f t="shared" si="3"/>
        <v>-7.8309509011808558</v>
      </c>
      <c r="I46" s="37">
        <f>SUM(H41:H46)</f>
        <v>-105.89999999999996</v>
      </c>
      <c r="L46" s="9">
        <v>2020</v>
      </c>
      <c r="M46" s="39">
        <f t="shared" si="17"/>
        <v>998.8</v>
      </c>
      <c r="N46" s="37">
        <f t="shared" ref="N46:N52" si="18">N6+O26</f>
        <v>973.06973275326288</v>
      </c>
      <c r="O46" s="37">
        <f t="shared" ref="O46:O52" si="19">N46-M46</f>
        <v>-25.730267246737071</v>
      </c>
      <c r="P46" s="38">
        <f t="shared" ref="P46:P52" si="20">O46/M46</f>
        <v>-2.5761180663533313E-2</v>
      </c>
      <c r="Q46" s="63">
        <f>$Q$42*L46+$Q$43</f>
        <v>-2.4979326977319971E-2</v>
      </c>
    </row>
    <row r="47" spans="1:17" x14ac:dyDescent="0.3">
      <c r="A47" s="34">
        <v>2050</v>
      </c>
      <c r="B47" s="34" t="s">
        <v>7</v>
      </c>
      <c r="C47" s="34">
        <v>2.6</v>
      </c>
      <c r="D47" s="35">
        <f t="shared" si="0"/>
        <v>290.86389061528899</v>
      </c>
      <c r="E47" s="34"/>
      <c r="F47" s="34">
        <v>1.25</v>
      </c>
      <c r="G47" s="35">
        <f t="shared" si="1"/>
        <v>139.83840894965817</v>
      </c>
      <c r="H47" s="36">
        <f t="shared" si="3"/>
        <v>-151.02548166563082</v>
      </c>
      <c r="L47" s="9">
        <v>2025</v>
      </c>
      <c r="M47" s="39">
        <f t="shared" si="17"/>
        <v>1095.9000000000003</v>
      </c>
      <c r="N47" s="37">
        <f t="shared" si="18"/>
        <v>982.91056556867647</v>
      </c>
      <c r="O47" s="37">
        <f t="shared" si="19"/>
        <v>-112.98943443132384</v>
      </c>
      <c r="P47" s="38">
        <f t="shared" si="20"/>
        <v>-0.10310195677646118</v>
      </c>
      <c r="Q47" s="63">
        <f t="shared" ref="Q47:Q52" si="21">$Q$42*L47+$Q$43</f>
        <v>-9.6586526204141876E-2</v>
      </c>
    </row>
    <row r="48" spans="1:17" x14ac:dyDescent="0.3">
      <c r="A48" s="34">
        <v>2050</v>
      </c>
      <c r="B48" s="34" t="s">
        <v>8</v>
      </c>
      <c r="C48" s="34">
        <v>0.61</v>
      </c>
      <c r="D48" s="35">
        <f t="shared" si="0"/>
        <v>68.241143567433184</v>
      </c>
      <c r="E48" s="34"/>
      <c r="F48" s="34">
        <v>0.17</v>
      </c>
      <c r="G48" s="35">
        <f t="shared" si="1"/>
        <v>19.01802361715351</v>
      </c>
      <c r="H48" s="36">
        <f t="shared" si="3"/>
        <v>-49.223119950279674</v>
      </c>
      <c r="L48" s="9">
        <v>2030</v>
      </c>
      <c r="M48" s="39">
        <f t="shared" si="17"/>
        <v>1202.8</v>
      </c>
      <c r="N48" s="37">
        <f t="shared" si="18"/>
        <v>1011.5010565568678</v>
      </c>
      <c r="O48" s="37">
        <f t="shared" si="19"/>
        <v>-191.2989434431322</v>
      </c>
      <c r="P48" s="38">
        <f t="shared" si="20"/>
        <v>-0.15904468194473911</v>
      </c>
      <c r="Q48" s="63">
        <f t="shared" si="21"/>
        <v>-0.16819372543096023</v>
      </c>
    </row>
    <row r="49" spans="1:17" x14ac:dyDescent="0.3">
      <c r="A49" s="34">
        <v>2050</v>
      </c>
      <c r="B49" s="34" t="s">
        <v>30</v>
      </c>
      <c r="C49" s="34">
        <v>1667.1</v>
      </c>
      <c r="D49" s="35">
        <f>C49-D47-D48-D50-D51-D52</f>
        <v>12.531945307644392</v>
      </c>
      <c r="E49" s="34"/>
      <c r="F49" s="34">
        <v>1593.8</v>
      </c>
      <c r="G49" s="35">
        <f>F49-G47-G48-G50-G51-G52</f>
        <v>673.10391547545044</v>
      </c>
      <c r="H49" s="36">
        <f t="shared" si="3"/>
        <v>660.57197016780606</v>
      </c>
      <c r="L49" s="9">
        <v>2035</v>
      </c>
      <c r="M49" s="39">
        <f t="shared" si="17"/>
        <v>1317.7000000000003</v>
      </c>
      <c r="N49" s="37">
        <f t="shared" si="18"/>
        <v>1030.1922311995031</v>
      </c>
      <c r="O49" s="37">
        <f t="shared" si="19"/>
        <v>-287.50776880049716</v>
      </c>
      <c r="P49" s="38">
        <f t="shared" si="20"/>
        <v>-0.21818909372429013</v>
      </c>
      <c r="Q49" s="63">
        <f t="shared" si="21"/>
        <v>-0.23980092465777858</v>
      </c>
    </row>
    <row r="50" spans="1:17" x14ac:dyDescent="0.3">
      <c r="A50" s="34">
        <v>2050</v>
      </c>
      <c r="B50" s="34" t="s">
        <v>6</v>
      </c>
      <c r="C50" s="34">
        <v>10.35</v>
      </c>
      <c r="D50" s="35">
        <f>$D$4*C50/$C$4</f>
        <v>1157.8620261031697</v>
      </c>
      <c r="E50" s="34"/>
      <c r="F50" s="34">
        <v>5.63</v>
      </c>
      <c r="G50" s="35">
        <f>$G$4*F50/$F$4</f>
        <v>629.83219390926047</v>
      </c>
      <c r="H50" s="36">
        <f t="shared" si="3"/>
        <v>-528.02983219390921</v>
      </c>
      <c r="L50" s="9">
        <v>2040</v>
      </c>
      <c r="M50" s="39">
        <f t="shared" si="17"/>
        <v>1432.1</v>
      </c>
      <c r="N50" s="37">
        <f t="shared" si="18"/>
        <v>953.29328775637032</v>
      </c>
      <c r="O50" s="37">
        <f t="shared" si="19"/>
        <v>-478.80671224362959</v>
      </c>
      <c r="P50" s="38">
        <f t="shared" si="20"/>
        <v>-0.33433888153315383</v>
      </c>
      <c r="Q50" s="63">
        <f t="shared" si="21"/>
        <v>-0.31140812388459693</v>
      </c>
    </row>
    <row r="51" spans="1:17" x14ac:dyDescent="0.3">
      <c r="A51" s="34">
        <v>2050</v>
      </c>
      <c r="B51" s="34" t="s">
        <v>9</v>
      </c>
      <c r="C51" s="34">
        <v>0.45</v>
      </c>
      <c r="D51" s="35">
        <f t="shared" si="0"/>
        <v>50.34182722187694</v>
      </c>
      <c r="E51" s="34"/>
      <c r="F51" s="34">
        <v>0.52</v>
      </c>
      <c r="G51" s="35">
        <f t="shared" si="1"/>
        <v>58.172778123057803</v>
      </c>
      <c r="H51" s="36">
        <f t="shared" si="3"/>
        <v>7.8309509011808629</v>
      </c>
      <c r="L51" s="9">
        <v>2045</v>
      </c>
      <c r="M51" s="39">
        <f t="shared" si="17"/>
        <v>1572.2</v>
      </c>
      <c r="N51" s="37">
        <f t="shared" si="18"/>
        <v>941.24909881914232</v>
      </c>
      <c r="O51" s="37">
        <f t="shared" si="19"/>
        <v>-630.95090118085773</v>
      </c>
      <c r="P51" s="38">
        <f t="shared" si="20"/>
        <v>-0.40131719958075163</v>
      </c>
      <c r="Q51" s="63">
        <f t="shared" si="21"/>
        <v>-0.38301532311141528</v>
      </c>
    </row>
    <row r="52" spans="1:17" x14ac:dyDescent="0.3">
      <c r="A52" s="34">
        <v>2050</v>
      </c>
      <c r="B52" s="34" t="s">
        <v>10</v>
      </c>
      <c r="C52" s="34">
        <v>0.78</v>
      </c>
      <c r="D52" s="35">
        <f t="shared" si="0"/>
        <v>87.259167184586701</v>
      </c>
      <c r="E52" s="34"/>
      <c r="F52" s="34">
        <v>0.66</v>
      </c>
      <c r="G52" s="35">
        <f t="shared" si="1"/>
        <v>73.834679925419522</v>
      </c>
      <c r="H52" s="36">
        <f t="shared" si="3"/>
        <v>-13.424487259167179</v>
      </c>
      <c r="I52" s="37">
        <f>SUM(H47:H52)</f>
        <v>-73.299999999999983</v>
      </c>
      <c r="L52" s="9">
        <v>2050</v>
      </c>
      <c r="M52" s="39">
        <f t="shared" si="17"/>
        <v>1667.1</v>
      </c>
      <c r="N52" s="37">
        <f t="shared" si="18"/>
        <v>938.82156619018019</v>
      </c>
      <c r="O52" s="37">
        <f t="shared" si="19"/>
        <v>-728.27843380981972</v>
      </c>
      <c r="P52" s="38">
        <f t="shared" si="20"/>
        <v>-0.43685347838151267</v>
      </c>
      <c r="Q52" s="63">
        <f t="shared" si="21"/>
        <v>-0.45462252233823719</v>
      </c>
    </row>
    <row r="53" spans="1:17" x14ac:dyDescent="0.3">
      <c r="A53" s="9" t="s">
        <v>17</v>
      </c>
    </row>
    <row r="59" spans="1:17" x14ac:dyDescent="0.3">
      <c r="D59" s="24" t="s">
        <v>23</v>
      </c>
      <c r="E59" s="24"/>
      <c r="F59" s="24"/>
      <c r="G59" s="24"/>
      <c r="H59" s="24"/>
      <c r="I59" s="23"/>
      <c r="J59" s="72" t="s">
        <v>27</v>
      </c>
      <c r="K59" s="72"/>
    </row>
    <row r="60" spans="1:17" x14ac:dyDescent="0.3">
      <c r="B60" s="6"/>
      <c r="C60" s="6"/>
      <c r="D60" s="6" t="s">
        <v>16</v>
      </c>
      <c r="E60" s="6"/>
      <c r="F60" s="6"/>
      <c r="G60" s="6"/>
      <c r="H60" s="6"/>
      <c r="I60" s="15"/>
      <c r="J60" s="72"/>
      <c r="K60" s="72"/>
    </row>
    <row r="61" spans="1:17" ht="36" x14ac:dyDescent="0.3">
      <c r="A61" s="12" t="s">
        <v>11</v>
      </c>
      <c r="C61" s="12"/>
      <c r="D61" s="16" t="s">
        <v>14</v>
      </c>
      <c r="E61" s="16"/>
      <c r="F61" s="16"/>
      <c r="G61" s="16" t="s">
        <v>15</v>
      </c>
      <c r="H61" s="16" t="s">
        <v>31</v>
      </c>
      <c r="I61" s="16"/>
      <c r="J61" s="16" t="s">
        <v>28</v>
      </c>
      <c r="K61" s="16" t="s">
        <v>29</v>
      </c>
      <c r="L61" s="16" t="s">
        <v>10</v>
      </c>
      <c r="M61" s="16" t="s">
        <v>9</v>
      </c>
      <c r="N61" s="16" t="s">
        <v>30</v>
      </c>
    </row>
    <row r="62" spans="1:17" x14ac:dyDescent="0.3">
      <c r="D62" s="12" t="s">
        <v>0</v>
      </c>
      <c r="E62" s="12"/>
      <c r="F62" s="12"/>
      <c r="G62" s="12" t="s">
        <v>0</v>
      </c>
      <c r="H62" s="12"/>
      <c r="I62" s="12"/>
      <c r="J62" s="12" t="s">
        <v>13</v>
      </c>
      <c r="K62" s="12" t="s">
        <v>13</v>
      </c>
      <c r="L62" s="12" t="s">
        <v>13</v>
      </c>
      <c r="M62" s="12" t="s">
        <v>13</v>
      </c>
    </row>
    <row r="63" spans="1:17" x14ac:dyDescent="0.3">
      <c r="A63" s="9">
        <v>2015</v>
      </c>
      <c r="C63" s="9"/>
      <c r="D63" s="22">
        <f t="shared" ref="D63:D70" si="22">SUMIF($A$5:$A$52,A63,$D$5:$D$52)</f>
        <v>895.49999999999989</v>
      </c>
      <c r="E63" s="22"/>
      <c r="F63" s="22"/>
      <c r="G63" s="22">
        <f t="shared" ref="G63:G70" si="23">SUMIF($A$5:$A$52,A63,$G$5:$G$52)</f>
        <v>895.5</v>
      </c>
      <c r="H63" s="22">
        <f>G63-D63</f>
        <v>0</v>
      </c>
      <c r="I63" s="22"/>
      <c r="J63" s="25"/>
      <c r="K63" s="25"/>
      <c r="L63" s="25"/>
      <c r="M63" s="25"/>
      <c r="N63" s="26"/>
    </row>
    <row r="64" spans="1:17" x14ac:dyDescent="0.3">
      <c r="A64" s="9">
        <v>2020</v>
      </c>
      <c r="C64" s="9"/>
      <c r="D64" s="22">
        <f t="shared" si="22"/>
        <v>998.8</v>
      </c>
      <c r="E64" s="22"/>
      <c r="F64" s="22"/>
      <c r="G64" s="22">
        <f t="shared" si="23"/>
        <v>971.00000000000011</v>
      </c>
      <c r="H64" s="22">
        <f t="shared" ref="H64:H70" si="24">G64-D64</f>
        <v>-27.799999999999841</v>
      </c>
      <c r="I64" s="22"/>
      <c r="J64" s="27">
        <f>(G14-D14)/H64</f>
        <v>1.0865142565872763</v>
      </c>
      <c r="K64" s="27">
        <f>((G11+G12)-(D11+D12))/(G64-D64)</f>
        <v>-0.16096507504996829</v>
      </c>
      <c r="L64" s="27">
        <f>(G16-D16)/H64</f>
        <v>0.44265395638740973</v>
      </c>
      <c r="M64" s="27">
        <f>(G15-D15)/H64</f>
        <v>-0.28168888133744258</v>
      </c>
      <c r="N64" s="27">
        <f>(G13-D13)/H64</f>
        <v>-8.6514256587269106E-2</v>
      </c>
      <c r="O64" s="28">
        <f>SUM(J64:N64)</f>
        <v>1.000000000000006</v>
      </c>
    </row>
    <row r="65" spans="1:15" x14ac:dyDescent="0.3">
      <c r="A65" s="9">
        <v>2025</v>
      </c>
      <c r="C65" s="9"/>
      <c r="D65" s="22">
        <f t="shared" si="22"/>
        <v>1095.9000000000003</v>
      </c>
      <c r="E65" s="22"/>
      <c r="F65" s="22"/>
      <c r="G65" s="22">
        <f t="shared" si="23"/>
        <v>1026.2000000000003</v>
      </c>
      <c r="H65" s="22">
        <f t="shared" si="24"/>
        <v>-69.700000000000045</v>
      </c>
      <c r="I65" s="22"/>
      <c r="J65" s="27">
        <f>(G20-D20)/H65</f>
        <v>1.0272204502471303</v>
      </c>
      <c r="K65" s="27">
        <f>((G17+G18)-(D17+D18))/H65</f>
        <v>0</v>
      </c>
      <c r="L65" s="27">
        <f>(G22-D22)/H65</f>
        <v>0</v>
      </c>
      <c r="M65" s="27">
        <f>(G21-D21)/H65</f>
        <v>0</v>
      </c>
      <c r="N65" s="27">
        <f>(G19-D19)/H65</f>
        <v>-2.7220450247130351E-2</v>
      </c>
      <c r="O65" s="28">
        <f>SUM(J65:N65)</f>
        <v>0.99999999999999989</v>
      </c>
    </row>
    <row r="66" spans="1:15" x14ac:dyDescent="0.3">
      <c r="A66" s="9">
        <v>2030</v>
      </c>
      <c r="C66" s="9"/>
      <c r="D66" s="22">
        <f t="shared" si="22"/>
        <v>1202.8</v>
      </c>
      <c r="E66" s="22"/>
      <c r="F66" s="22"/>
      <c r="G66" s="22">
        <f t="shared" si="23"/>
        <v>1070.5</v>
      </c>
      <c r="H66" s="22">
        <f t="shared" si="24"/>
        <v>-132.29999999999995</v>
      </c>
      <c r="I66" s="22"/>
      <c r="J66" s="27">
        <f>(G26-D26)/H66</f>
        <v>1.13308219496624</v>
      </c>
      <c r="K66" s="27">
        <f>((G23+G24)-(D23+D24))/H66</f>
        <v>0.31286597920709619</v>
      </c>
      <c r="L66" s="27">
        <f>(G28-D28)/H66</f>
        <v>-0.10147004731040961</v>
      </c>
      <c r="M66" s="27">
        <f>(G27-D27)/H66</f>
        <v>2.5367511827602388E-2</v>
      </c>
      <c r="N66" s="27">
        <f>(G25-D25)/H66</f>
        <v>-0.36984563869052905</v>
      </c>
      <c r="O66" s="28">
        <f t="shared" ref="O66:O67" si="25">SUM(J66:N66)</f>
        <v>1</v>
      </c>
    </row>
    <row r="67" spans="1:15" x14ac:dyDescent="0.3">
      <c r="A67" s="9">
        <v>2035</v>
      </c>
      <c r="C67" s="9"/>
      <c r="D67" s="22">
        <f t="shared" si="22"/>
        <v>1317.7000000000003</v>
      </c>
      <c r="E67" s="22"/>
      <c r="F67" s="22"/>
      <c r="G67" s="22">
        <f t="shared" si="23"/>
        <v>1131.7</v>
      </c>
      <c r="H67" s="22">
        <f t="shared" si="24"/>
        <v>-186.00000000000023</v>
      </c>
      <c r="I67" s="22"/>
      <c r="J67" s="27">
        <f>(G32-D32)/H67</f>
        <v>1.1247218268209056</v>
      </c>
      <c r="K67" s="27">
        <f>((G29+G30)-(D29+D30))/H67</f>
        <v>0.42101886565488433</v>
      </c>
      <c r="L67" s="27">
        <f>(G34-D34)/H67</f>
        <v>0</v>
      </c>
      <c r="M67" s="27">
        <f>(G33-D33)/H67</f>
        <v>0.10224743880190044</v>
      </c>
      <c r="N67" s="27">
        <f>(G31-D31)/H67</f>
        <v>-0.6479881312776905</v>
      </c>
      <c r="O67" s="28">
        <f t="shared" si="25"/>
        <v>0.99999999999999978</v>
      </c>
    </row>
    <row r="68" spans="1:15" x14ac:dyDescent="0.3">
      <c r="A68" s="9">
        <v>2040</v>
      </c>
      <c r="C68" s="9"/>
      <c r="D68" s="22">
        <f t="shared" si="22"/>
        <v>1432.1</v>
      </c>
      <c r="E68" s="22"/>
      <c r="F68" s="22"/>
      <c r="G68" s="22">
        <f t="shared" si="23"/>
        <v>1254.2</v>
      </c>
      <c r="H68" s="22">
        <f t="shared" si="24"/>
        <v>-177.89999999999986</v>
      </c>
      <c r="I68" s="22"/>
      <c r="J68" s="27">
        <f>(G38-D38)/H68</f>
        <v>1.9053867526361534</v>
      </c>
      <c r="K68" s="27">
        <f>((G35+G36)-(D35+D36))/H68</f>
        <v>0.78605064052646589</v>
      </c>
      <c r="L68" s="27">
        <f>(G40-D40)/H68</f>
        <v>6.2884051242117715E-3</v>
      </c>
      <c r="M68" s="27">
        <f>(G39-D39)/H68</f>
        <v>-1.8865215372635153E-2</v>
      </c>
      <c r="N68" s="27">
        <f>(G37-D37)/H68</f>
        <v>-1.6788605829141952</v>
      </c>
      <c r="O68" s="28">
        <f t="shared" ref="O68" si="26">SUM(J68:N68)</f>
        <v>1.0000000000000007</v>
      </c>
    </row>
    <row r="69" spans="1:15" x14ac:dyDescent="0.3">
      <c r="A69" s="9">
        <v>2045</v>
      </c>
      <c r="C69" s="9"/>
      <c r="D69" s="22">
        <f t="shared" si="22"/>
        <v>1572.2</v>
      </c>
      <c r="E69" s="22"/>
      <c r="F69" s="22"/>
      <c r="G69" s="22">
        <f t="shared" si="23"/>
        <v>1466.3</v>
      </c>
      <c r="H69" s="22">
        <f t="shared" si="24"/>
        <v>-105.90000000000009</v>
      </c>
      <c r="J69" s="27">
        <f>(G44-D44)/H69</f>
        <v>4.2783422568167344</v>
      </c>
      <c r="K69" s="27">
        <f>((G41+G42)-(D41+D42))/H69</f>
        <v>1.6796454786021251</v>
      </c>
      <c r="L69" s="27">
        <f>(G46-D46)/H69</f>
        <v>7.3946656290659579E-2</v>
      </c>
      <c r="M69" s="27">
        <f>(G45-D45)/H69</f>
        <v>-9.5074272373705249E-2</v>
      </c>
      <c r="N69" s="27">
        <f>(G43-D43)/H69</f>
        <v>-4.9368601193358144</v>
      </c>
      <c r="O69" s="28">
        <f t="shared" ref="O69" si="27">SUM(J69:N69)</f>
        <v>0.99999999999999911</v>
      </c>
    </row>
    <row r="70" spans="1:15" x14ac:dyDescent="0.3">
      <c r="A70" s="9">
        <v>2050</v>
      </c>
      <c r="C70" s="9"/>
      <c r="D70" s="22">
        <f t="shared" si="22"/>
        <v>1667.1</v>
      </c>
      <c r="E70" s="22"/>
      <c r="F70" s="22"/>
      <c r="G70" s="22">
        <f t="shared" si="23"/>
        <v>1593.8</v>
      </c>
      <c r="H70" s="22">
        <f t="shared" si="24"/>
        <v>-73.299999999999955</v>
      </c>
      <c r="J70" s="27">
        <f>(G50-D50)/H70</f>
        <v>7.2036812031911257</v>
      </c>
      <c r="K70" s="27">
        <f>((G47+G48)-(D47+D48))/H70</f>
        <v>2.7319045240915503</v>
      </c>
      <c r="L70" s="27">
        <f>(G52-D52)/H70</f>
        <v>0.18314443736926586</v>
      </c>
      <c r="M70" s="27">
        <f>(G51-D51)/H70</f>
        <v>-0.10683425513207187</v>
      </c>
      <c r="N70" s="27">
        <f>(G49-D49)/H70</f>
        <v>-9.0118959095198701</v>
      </c>
      <c r="O70" s="28">
        <f t="shared" ref="O70" si="28">SUM(J70:N70)</f>
        <v>1.0000000000000018</v>
      </c>
    </row>
    <row r="74" spans="1:15" ht="24" x14ac:dyDescent="0.3">
      <c r="J74" s="16" t="s">
        <v>6</v>
      </c>
      <c r="K74" s="16" t="s">
        <v>22</v>
      </c>
    </row>
    <row r="75" spans="1:15" x14ac:dyDescent="0.3">
      <c r="I75" s="9">
        <v>2020</v>
      </c>
      <c r="J75">
        <v>1.0865142565872763</v>
      </c>
      <c r="K75">
        <v>-0.16096507504996829</v>
      </c>
    </row>
    <row r="76" spans="1:15" x14ac:dyDescent="0.3">
      <c r="I76" s="9">
        <v>2025</v>
      </c>
      <c r="J76">
        <v>1.0272204502471303</v>
      </c>
      <c r="K76">
        <v>0</v>
      </c>
    </row>
    <row r="77" spans="1:15" x14ac:dyDescent="0.3">
      <c r="I77" s="9">
        <v>2030</v>
      </c>
      <c r="J77">
        <v>1.13308219496624</v>
      </c>
      <c r="K77">
        <v>0.31286597920709619</v>
      </c>
    </row>
    <row r="78" spans="1:15" x14ac:dyDescent="0.3">
      <c r="I78" s="9">
        <v>2035</v>
      </c>
      <c r="J78">
        <v>1.1247218268209056</v>
      </c>
      <c r="K78">
        <v>0.42101886565488433</v>
      </c>
    </row>
    <row r="79" spans="1:15" x14ac:dyDescent="0.3">
      <c r="I79" s="9">
        <v>2040</v>
      </c>
      <c r="J79">
        <v>1.9053867526361534</v>
      </c>
      <c r="K79">
        <v>0.78605064052646589</v>
      </c>
    </row>
    <row r="80" spans="1:15" x14ac:dyDescent="0.3">
      <c r="I80" s="9">
        <v>2045</v>
      </c>
      <c r="J80">
        <v>4.2783422568167344</v>
      </c>
      <c r="K80">
        <v>1.6796454786021251</v>
      </c>
    </row>
    <row r="81" spans="9:11" x14ac:dyDescent="0.3">
      <c r="I81" s="9">
        <v>2050</v>
      </c>
      <c r="J81">
        <v>7.2036812031911257</v>
      </c>
      <c r="K81">
        <v>2.7319045240915503</v>
      </c>
    </row>
  </sheetData>
  <autoFilter ref="A3:G53" xr:uid="{12614FB0-A3DE-402D-B33F-EB3B5F61EA56}"/>
  <mergeCells count="3">
    <mergeCell ref="C2:D2"/>
    <mergeCell ref="F2:G2"/>
    <mergeCell ref="J59:K6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08473-0CA6-471D-97C5-2465190A89CC}">
  <dimension ref="A2:Y67"/>
  <sheetViews>
    <sheetView tabSelected="1" topLeftCell="A22" zoomScale="83" zoomScaleNormal="83" workbookViewId="0">
      <selection activeCell="A52" sqref="A52:B53"/>
    </sheetView>
  </sheetViews>
  <sheetFormatPr defaultRowHeight="14.4" x14ac:dyDescent="0.3"/>
  <cols>
    <col min="1" max="1" width="9.5546875" customWidth="1"/>
    <col min="2" max="2" width="30.5546875" bestFit="1" customWidth="1"/>
    <col min="4" max="4" width="10.5546875" bestFit="1" customWidth="1"/>
    <col min="6" max="25" width="12" customWidth="1"/>
  </cols>
  <sheetData>
    <row r="2" spans="1:25" ht="14.4" customHeight="1" x14ac:dyDescent="0.3">
      <c r="B2" s="74" t="s">
        <v>35</v>
      </c>
      <c r="C2" s="74"/>
      <c r="D2" s="74"/>
      <c r="E2" s="75"/>
      <c r="F2" s="44">
        <v>2013</v>
      </c>
      <c r="G2" s="44">
        <v>2014</v>
      </c>
      <c r="H2" s="44">
        <v>2015</v>
      </c>
      <c r="I2" s="44">
        <v>2016</v>
      </c>
      <c r="J2" s="44">
        <v>2017</v>
      </c>
      <c r="K2" s="44">
        <v>2018</v>
      </c>
      <c r="L2" s="44">
        <v>2019</v>
      </c>
      <c r="M2" s="44">
        <v>2020</v>
      </c>
      <c r="N2" s="44">
        <v>2021</v>
      </c>
      <c r="O2" s="44">
        <v>2022</v>
      </c>
      <c r="P2" s="44">
        <v>2023</v>
      </c>
      <c r="Q2" s="44">
        <v>2024</v>
      </c>
      <c r="R2" s="44">
        <v>2025</v>
      </c>
      <c r="S2" s="44">
        <v>2026</v>
      </c>
      <c r="T2" s="44">
        <v>2027</v>
      </c>
      <c r="U2" s="44">
        <v>2028</v>
      </c>
      <c r="V2" s="44">
        <v>2029</v>
      </c>
      <c r="W2" s="44">
        <v>2030</v>
      </c>
      <c r="X2" s="44">
        <v>2031</v>
      </c>
      <c r="Y2" s="44">
        <v>2032</v>
      </c>
    </row>
    <row r="3" spans="1:25" ht="14.4" customHeight="1" x14ac:dyDescent="0.3">
      <c r="B3" s="42" t="s">
        <v>36</v>
      </c>
      <c r="C3" s="42"/>
      <c r="D3" s="42"/>
      <c r="E3" s="43" t="s">
        <v>37</v>
      </c>
      <c r="F3" s="45">
        <v>29717.490613996521</v>
      </c>
      <c r="G3" s="45">
        <v>29893.679334214517</v>
      </c>
      <c r="H3" s="45">
        <v>29879.726823456273</v>
      </c>
      <c r="I3" s="45">
        <v>30652.015083478462</v>
      </c>
      <c r="J3" s="45">
        <v>31008.664334096939</v>
      </c>
      <c r="K3" s="45">
        <v>31550.223520031457</v>
      </c>
      <c r="L3" s="45">
        <v>35537.536878738269</v>
      </c>
      <c r="M3" s="45">
        <v>35961.440852659522</v>
      </c>
      <c r="N3" s="45">
        <v>36853.393902859221</v>
      </c>
      <c r="O3" s="45">
        <v>37398.300375625025</v>
      </c>
      <c r="P3" s="45">
        <v>35288.533838023475</v>
      </c>
      <c r="Q3" s="45">
        <v>35891.33681487375</v>
      </c>
      <c r="R3" s="45">
        <v>36539.648758461408</v>
      </c>
      <c r="S3" s="45">
        <v>37258.05127058144</v>
      </c>
      <c r="T3" s="45">
        <v>39642.755725023497</v>
      </c>
      <c r="U3" s="45">
        <v>38621.05360466666</v>
      </c>
      <c r="V3" s="45">
        <v>39454.366421301973</v>
      </c>
      <c r="W3" s="45">
        <v>40367.697689396344</v>
      </c>
      <c r="X3" s="45">
        <v>41345.714520318528</v>
      </c>
      <c r="Y3" s="45">
        <v>42344.286871363889</v>
      </c>
    </row>
    <row r="4" spans="1:25" x14ac:dyDescent="0.3">
      <c r="B4" t="s">
        <v>38</v>
      </c>
      <c r="C4" t="s">
        <v>40</v>
      </c>
      <c r="D4" t="s">
        <v>41</v>
      </c>
    </row>
    <row r="5" spans="1:25" x14ac:dyDescent="0.3">
      <c r="C5" t="s">
        <v>39</v>
      </c>
      <c r="D5" t="s">
        <v>42</v>
      </c>
    </row>
    <row r="6" spans="1:25" x14ac:dyDescent="0.3">
      <c r="C6" t="s">
        <v>43</v>
      </c>
      <c r="D6" t="s">
        <v>44</v>
      </c>
    </row>
    <row r="7" spans="1:25" x14ac:dyDescent="0.3">
      <c r="C7" t="s">
        <v>45</v>
      </c>
      <c r="D7" t="s">
        <v>46</v>
      </c>
    </row>
    <row r="8" spans="1:25" x14ac:dyDescent="0.3">
      <c r="C8" t="s">
        <v>47</v>
      </c>
      <c r="D8" s="46">
        <v>43577</v>
      </c>
    </row>
    <row r="10" spans="1:25" x14ac:dyDescent="0.3">
      <c r="B10" t="s">
        <v>49</v>
      </c>
    </row>
    <row r="11" spans="1:25" x14ac:dyDescent="0.3">
      <c r="A11" s="48" t="s">
        <v>50</v>
      </c>
      <c r="B11" s="48" t="s">
        <v>51</v>
      </c>
    </row>
    <row r="12" spans="1:25" x14ac:dyDescent="0.3">
      <c r="A12" s="48">
        <v>2014</v>
      </c>
      <c r="B12" s="48">
        <v>0.45400000000000001</v>
      </c>
    </row>
    <row r="13" spans="1:25" x14ac:dyDescent="0.3">
      <c r="A13" s="48">
        <v>2015</v>
      </c>
      <c r="B13" s="48">
        <v>0.45800000000000002</v>
      </c>
    </row>
    <row r="14" spans="1:25" x14ac:dyDescent="0.3">
      <c r="A14" s="48">
        <v>2016</v>
      </c>
      <c r="B14" s="48">
        <v>0.45800000000000002</v>
      </c>
    </row>
    <row r="15" spans="1:25" x14ac:dyDescent="0.3">
      <c r="A15" s="48">
        <v>2017</v>
      </c>
      <c r="B15" s="48">
        <v>0.58199999999999996</v>
      </c>
    </row>
    <row r="16" spans="1:25" x14ac:dyDescent="0.3">
      <c r="A16" s="48">
        <v>2018</v>
      </c>
      <c r="B16" s="48">
        <v>0.52700000000000002</v>
      </c>
    </row>
    <row r="17" spans="1:25" x14ac:dyDescent="0.3">
      <c r="A17" s="49" t="s">
        <v>52</v>
      </c>
      <c r="B17" s="49">
        <f>AVERAGE(B12:B16)</f>
        <v>0.49580000000000002</v>
      </c>
    </row>
    <row r="18" spans="1:25" x14ac:dyDescent="0.3">
      <c r="A18" s="49"/>
      <c r="B18" s="49" t="s">
        <v>53</v>
      </c>
    </row>
    <row r="19" spans="1:25" x14ac:dyDescent="0.3">
      <c r="A19" s="49"/>
      <c r="B19" s="50" t="s">
        <v>54</v>
      </c>
    </row>
    <row r="21" spans="1:25" x14ac:dyDescent="0.3">
      <c r="A21" s="49"/>
      <c r="B21" t="s">
        <v>58</v>
      </c>
      <c r="C21" s="51">
        <v>3.5999999999999998E-6</v>
      </c>
      <c r="D21" t="s">
        <v>59</v>
      </c>
    </row>
    <row r="23" spans="1:25" ht="14.4" customHeight="1" x14ac:dyDescent="0.3">
      <c r="B23" s="74" t="s">
        <v>35</v>
      </c>
      <c r="C23" s="74"/>
      <c r="D23" s="74"/>
      <c r="E23" s="75"/>
      <c r="F23" s="44">
        <v>2013</v>
      </c>
      <c r="G23" s="44">
        <v>2014</v>
      </c>
      <c r="H23" s="44">
        <v>2015</v>
      </c>
      <c r="I23" s="44">
        <v>2016</v>
      </c>
      <c r="J23" s="44">
        <v>2017</v>
      </c>
      <c r="K23" s="44">
        <v>2018</v>
      </c>
      <c r="L23" s="44">
        <v>2019</v>
      </c>
      <c r="M23" s="44">
        <v>2020</v>
      </c>
      <c r="N23" s="44">
        <v>2021</v>
      </c>
      <c r="O23" s="44">
        <v>2022</v>
      </c>
      <c r="P23" s="44">
        <v>2023</v>
      </c>
      <c r="Q23" s="44">
        <v>2024</v>
      </c>
      <c r="R23" s="44">
        <v>2025</v>
      </c>
      <c r="S23" s="44">
        <v>2026</v>
      </c>
      <c r="T23" s="44">
        <v>2027</v>
      </c>
      <c r="U23" s="44">
        <v>2028</v>
      </c>
      <c r="V23" s="44">
        <v>2029</v>
      </c>
      <c r="W23" s="44">
        <v>2030</v>
      </c>
      <c r="X23" s="44">
        <v>2031</v>
      </c>
      <c r="Y23" s="44">
        <v>2032</v>
      </c>
    </row>
    <row r="24" spans="1:25" ht="14.4" customHeight="1" x14ac:dyDescent="0.3">
      <c r="B24" s="42" t="s">
        <v>57</v>
      </c>
      <c r="C24" s="42"/>
      <c r="D24" s="42"/>
      <c r="E24" s="43" t="s">
        <v>56</v>
      </c>
      <c r="F24" s="45">
        <f>F3/$B$17</f>
        <v>59938.46432835119</v>
      </c>
      <c r="G24" s="45">
        <f t="shared" ref="G24:Y24" si="0">G3/$B$17</f>
        <v>60293.826813663807</v>
      </c>
      <c r="H24" s="45">
        <f t="shared" si="0"/>
        <v>60265.685404308737</v>
      </c>
      <c r="I24" s="45">
        <f t="shared" si="0"/>
        <v>61823.346275672571</v>
      </c>
      <c r="J24" s="45">
        <f t="shared" si="0"/>
        <v>62542.68724101843</v>
      </c>
      <c r="K24" s="45">
        <f t="shared" si="0"/>
        <v>63634.980879450297</v>
      </c>
      <c r="L24" s="45">
        <f t="shared" si="0"/>
        <v>71677.161917584235</v>
      </c>
      <c r="M24" s="45">
        <f>M3/$B$17</f>
        <v>72532.151780273343</v>
      </c>
      <c r="N24" s="45">
        <f t="shared" si="0"/>
        <v>74331.169630615608</v>
      </c>
      <c r="O24" s="45">
        <f t="shared" si="0"/>
        <v>75430.214553499449</v>
      </c>
      <c r="P24" s="45">
        <f t="shared" si="0"/>
        <v>71174.937148090918</v>
      </c>
      <c r="Q24" s="45">
        <f t="shared" si="0"/>
        <v>72390.755979979323</v>
      </c>
      <c r="R24" s="45">
        <f t="shared" si="0"/>
        <v>73698.363772612764</v>
      </c>
      <c r="S24" s="45">
        <f t="shared" si="0"/>
        <v>75147.340198833073</v>
      </c>
      <c r="T24" s="45">
        <f t="shared" si="0"/>
        <v>79957.151522838831</v>
      </c>
      <c r="U24" s="45">
        <f t="shared" si="0"/>
        <v>77896.437282506377</v>
      </c>
      <c r="V24" s="45">
        <f t="shared" si="0"/>
        <v>79577.181164384776</v>
      </c>
      <c r="W24" s="45">
        <f t="shared" si="0"/>
        <v>81419.31764702771</v>
      </c>
      <c r="X24" s="45">
        <f t="shared" si="0"/>
        <v>83391.921178536766</v>
      </c>
      <c r="Y24" s="45">
        <f t="shared" si="0"/>
        <v>85405.984008398314</v>
      </c>
    </row>
    <row r="25" spans="1:25" ht="14.4" customHeight="1" x14ac:dyDescent="0.3">
      <c r="B25" s="57" t="s">
        <v>57</v>
      </c>
      <c r="C25" s="57"/>
      <c r="D25" s="57"/>
      <c r="E25" s="58" t="s">
        <v>0</v>
      </c>
      <c r="F25" s="59">
        <f t="shared" ref="F25:Y25" si="1">$C$21*F24</f>
        <v>0.21577847158206429</v>
      </c>
      <c r="G25" s="59">
        <f t="shared" si="1"/>
        <v>0.2170577765291897</v>
      </c>
      <c r="H25" s="59">
        <f t="shared" si="1"/>
        <v>0.21695646745551145</v>
      </c>
      <c r="I25" s="59">
        <f t="shared" si="1"/>
        <v>0.22256404659242124</v>
      </c>
      <c r="J25" s="59">
        <f t="shared" si="1"/>
        <v>0.22515367406766634</v>
      </c>
      <c r="K25" s="59">
        <f t="shared" si="1"/>
        <v>0.22908593116602105</v>
      </c>
      <c r="L25" s="59">
        <f t="shared" si="1"/>
        <v>0.25803778290330326</v>
      </c>
      <c r="M25" s="52">
        <f t="shared" si="1"/>
        <v>0.26111574640898405</v>
      </c>
      <c r="N25" s="52">
        <f t="shared" si="1"/>
        <v>0.26759221067021616</v>
      </c>
      <c r="O25" s="52">
        <f t="shared" si="1"/>
        <v>0.271548772392598</v>
      </c>
      <c r="P25" s="52">
        <f t="shared" si="1"/>
        <v>0.25622977373312728</v>
      </c>
      <c r="Q25" s="52">
        <f t="shared" si="1"/>
        <v>0.26060672152792558</v>
      </c>
      <c r="R25" s="52">
        <f t="shared" si="1"/>
        <v>0.26531410958140594</v>
      </c>
      <c r="S25" s="52">
        <f t="shared" si="1"/>
        <v>0.27053042471579908</v>
      </c>
      <c r="T25" s="52">
        <f t="shared" si="1"/>
        <v>0.28784574548221975</v>
      </c>
      <c r="U25" s="52">
        <f t="shared" si="1"/>
        <v>0.28042717421702296</v>
      </c>
      <c r="V25" s="52">
        <f t="shared" si="1"/>
        <v>0.28647785219178518</v>
      </c>
      <c r="W25" s="52">
        <f t="shared" si="1"/>
        <v>0.29310954352929974</v>
      </c>
      <c r="X25" s="52">
        <f t="shared" si="1"/>
        <v>0.30021091624273233</v>
      </c>
      <c r="Y25" s="52">
        <f t="shared" si="1"/>
        <v>0.30746154243023394</v>
      </c>
    </row>
    <row r="26" spans="1:25" x14ac:dyDescent="0.3">
      <c r="B26" s="60" t="s">
        <v>62</v>
      </c>
      <c r="C26" s="61"/>
      <c r="D26" s="61"/>
      <c r="E26" s="58" t="s">
        <v>13</v>
      </c>
      <c r="F26" s="61"/>
      <c r="G26" s="61"/>
      <c r="H26" s="61"/>
      <c r="I26" s="61"/>
      <c r="J26" s="61"/>
      <c r="K26" s="61"/>
      <c r="L26" s="62"/>
      <c r="M26" s="56">
        <f>$C$33*M23+$C$34</f>
        <v>-2.4979326977319971E-2</v>
      </c>
      <c r="N26" s="56">
        <f t="shared" ref="N26:Y26" si="2">$C$33*N23+$C$34</f>
        <v>-3.9300766822684352E-2</v>
      </c>
      <c r="O26" s="56">
        <f t="shared" si="2"/>
        <v>-5.3622206668048733E-2</v>
      </c>
      <c r="P26" s="56">
        <f t="shared" si="2"/>
        <v>-6.7943646513413114E-2</v>
      </c>
      <c r="Q26" s="56">
        <f t="shared" si="2"/>
        <v>-8.2265086358777495E-2</v>
      </c>
      <c r="R26" s="56">
        <f t="shared" si="2"/>
        <v>-9.6586526204141876E-2</v>
      </c>
      <c r="S26" s="56">
        <f t="shared" si="2"/>
        <v>-0.11090796604950626</v>
      </c>
      <c r="T26" s="56">
        <f t="shared" si="2"/>
        <v>-0.12522940589486709</v>
      </c>
      <c r="U26" s="56">
        <f t="shared" si="2"/>
        <v>-0.13955084574023147</v>
      </c>
      <c r="V26" s="56">
        <f t="shared" si="2"/>
        <v>-0.15387228558559585</v>
      </c>
      <c r="W26" s="56">
        <f t="shared" si="2"/>
        <v>-0.16819372543096023</v>
      </c>
      <c r="X26" s="56">
        <f t="shared" si="2"/>
        <v>-0.18251516527632461</v>
      </c>
      <c r="Y26" s="56">
        <f t="shared" si="2"/>
        <v>-0.19683660512168899</v>
      </c>
    </row>
    <row r="27" spans="1:25" x14ac:dyDescent="0.3">
      <c r="B27" s="60" t="s">
        <v>60</v>
      </c>
      <c r="C27" s="61"/>
      <c r="D27" s="61"/>
      <c r="E27" s="58" t="s">
        <v>0</v>
      </c>
      <c r="F27" s="61"/>
      <c r="G27" s="61"/>
      <c r="H27" s="61"/>
      <c r="I27" s="61"/>
      <c r="J27" s="61"/>
      <c r="K27" s="61"/>
      <c r="L27" s="62"/>
      <c r="M27" s="56">
        <f>M25*M26</f>
        <v>-6.522495608476976E-3</v>
      </c>
      <c r="N27" s="56">
        <f t="shared" ref="N27:Y27" si="3">N25*N26</f>
        <v>-1.0516579075116793E-2</v>
      </c>
      <c r="O27" s="56">
        <f t="shared" si="3"/>
        <v>-1.4561044393690816E-2</v>
      </c>
      <c r="P27" s="56">
        <f t="shared" si="3"/>
        <v>-1.7409185172735424E-2</v>
      </c>
      <c r="Q27" s="56">
        <f t="shared" si="3"/>
        <v>-2.1438834452172675E-2</v>
      </c>
      <c r="R27" s="56">
        <f t="shared" si="3"/>
        <v>-2.5625768197413034E-2</v>
      </c>
      <c r="S27" s="56">
        <f t="shared" si="3"/>
        <v>-3.0003979159738351E-2</v>
      </c>
      <c r="T27" s="56">
        <f t="shared" si="3"/>
        <v>-3.6046751696103503E-2</v>
      </c>
      <c r="U27" s="56">
        <f t="shared" si="3"/>
        <v>-3.9133849330528783E-2</v>
      </c>
      <c r="V27" s="56">
        <f t="shared" si="3"/>
        <v>-4.4081001886402481E-2</v>
      </c>
      <c r="W27" s="56">
        <f t="shared" si="3"/>
        <v>-4.9299186085561129E-2</v>
      </c>
      <c r="X27" s="56">
        <f t="shared" si="3"/>
        <v>-5.4793044995799137E-2</v>
      </c>
      <c r="Y27" s="56">
        <f t="shared" si="3"/>
        <v>-6.0519686217445384E-2</v>
      </c>
    </row>
    <row r="28" spans="1:25" x14ac:dyDescent="0.3">
      <c r="B28" s="60" t="s">
        <v>61</v>
      </c>
      <c r="C28" s="61"/>
      <c r="D28" s="61"/>
      <c r="E28" s="58" t="s">
        <v>0</v>
      </c>
      <c r="F28" s="61"/>
      <c r="G28" s="61"/>
      <c r="H28" s="61"/>
      <c r="I28" s="61"/>
      <c r="J28" s="61"/>
      <c r="K28" s="61"/>
      <c r="L28" s="62"/>
      <c r="M28" s="52">
        <f>M25+M27</f>
        <v>0.2545932508005071</v>
      </c>
      <c r="N28" s="52">
        <f t="shared" ref="N28:Y28" si="4">N25+N27</f>
        <v>0.25707563159509939</v>
      </c>
      <c r="O28" s="52">
        <f t="shared" si="4"/>
        <v>0.25698772799890718</v>
      </c>
      <c r="P28" s="52">
        <f t="shared" si="4"/>
        <v>0.23882058856039184</v>
      </c>
      <c r="Q28" s="52">
        <f t="shared" si="4"/>
        <v>0.2391678870757529</v>
      </c>
      <c r="R28" s="52">
        <f t="shared" si="4"/>
        <v>0.23968834138399292</v>
      </c>
      <c r="S28" s="52">
        <f t="shared" si="4"/>
        <v>0.24052644555606073</v>
      </c>
      <c r="T28" s="52">
        <f t="shared" si="4"/>
        <v>0.25179899378611625</v>
      </c>
      <c r="U28" s="52">
        <f t="shared" si="4"/>
        <v>0.24129332488649419</v>
      </c>
      <c r="V28" s="52">
        <f t="shared" si="4"/>
        <v>0.24239685030538269</v>
      </c>
      <c r="W28" s="52">
        <f t="shared" si="4"/>
        <v>0.24381035744373861</v>
      </c>
      <c r="X28" s="52">
        <f t="shared" si="4"/>
        <v>0.24541787124693321</v>
      </c>
      <c r="Y28" s="52">
        <f t="shared" si="4"/>
        <v>0.24694185621278855</v>
      </c>
    </row>
    <row r="29" spans="1:25" x14ac:dyDescent="0.3">
      <c r="B29" s="60" t="s">
        <v>61</v>
      </c>
      <c r="C29" s="61"/>
      <c r="D29" s="61"/>
      <c r="E29" s="43" t="s">
        <v>37</v>
      </c>
      <c r="F29" s="64">
        <f>F24*$B$17</f>
        <v>29717.490613996521</v>
      </c>
      <c r="G29" s="64">
        <f t="shared" ref="G29:L29" si="5">G24*$B$17</f>
        <v>29893.679334214517</v>
      </c>
      <c r="H29" s="64">
        <f t="shared" si="5"/>
        <v>29879.726823456273</v>
      </c>
      <c r="I29" s="64">
        <f t="shared" si="5"/>
        <v>30652.015083478462</v>
      </c>
      <c r="J29" s="64">
        <f t="shared" si="5"/>
        <v>31008.664334096939</v>
      </c>
      <c r="K29" s="64">
        <f t="shared" si="5"/>
        <v>31550.223520031457</v>
      </c>
      <c r="L29" s="64">
        <f t="shared" si="5"/>
        <v>35537.536878738269</v>
      </c>
      <c r="M29" s="45">
        <f>M28/$C$21*$B$17</f>
        <v>35063.148263025396</v>
      </c>
      <c r="N29" s="45">
        <f t="shared" ref="N29:Y29" si="6">N28/$C$21*$B$17</f>
        <v>35405.02726245841</v>
      </c>
      <c r="O29" s="45">
        <f t="shared" si="6"/>
        <v>35392.920983849501</v>
      </c>
      <c r="P29" s="45">
        <f t="shared" si="6"/>
        <v>32890.902168956192</v>
      </c>
      <c r="Q29" s="45">
        <f t="shared" si="6"/>
        <v>32938.732892266198</v>
      </c>
      <c r="R29" s="45">
        <f t="shared" si="6"/>
        <v>33010.411016162136</v>
      </c>
      <c r="S29" s="45">
        <f t="shared" si="6"/>
        <v>33125.836585193036</v>
      </c>
      <c r="T29" s="45">
        <f t="shared" si="6"/>
        <v>34678.316977543458</v>
      </c>
      <c r="U29" s="45">
        <f t="shared" si="6"/>
        <v>33231.45291075662</v>
      </c>
      <c r="V29" s="45">
        <f t="shared" si="6"/>
        <v>33383.43288372465</v>
      </c>
      <c r="W29" s="45">
        <f t="shared" si="6"/>
        <v>33578.104227946009</v>
      </c>
      <c r="X29" s="45">
        <f t="shared" si="6"/>
        <v>33799.494601174862</v>
      </c>
      <c r="Y29" s="45">
        <f t="shared" si="6"/>
        <v>34009.381197305716</v>
      </c>
    </row>
    <row r="30" spans="1:25" x14ac:dyDescent="0.3">
      <c r="B30" t="s">
        <v>55</v>
      </c>
      <c r="D30" s="53"/>
      <c r="E30" s="54"/>
      <c r="F30" s="55"/>
      <c r="G30" s="55"/>
      <c r="H30" s="55"/>
      <c r="I30" s="30"/>
    </row>
    <row r="32" spans="1:25" x14ac:dyDescent="0.3">
      <c r="B32" t="s">
        <v>48</v>
      </c>
    </row>
    <row r="33" spans="2:3" x14ac:dyDescent="0.3">
      <c r="B33" t="s">
        <v>63</v>
      </c>
      <c r="C33" s="47">
        <f>'Sheet1 (1)'!Q42</f>
        <v>-1.4321439845363814E-2</v>
      </c>
    </row>
    <row r="34" spans="2:3" x14ac:dyDescent="0.3">
      <c r="B34" t="s">
        <v>64</v>
      </c>
      <c r="C34">
        <f>'Sheet1 (1)'!Q43</f>
        <v>28.904329160657582</v>
      </c>
    </row>
    <row r="52" spans="1:4" x14ac:dyDescent="0.3">
      <c r="A52" s="76" t="s">
        <v>60</v>
      </c>
      <c r="B52" s="76"/>
    </row>
    <row r="53" spans="1:4" x14ac:dyDescent="0.3">
      <c r="A53" s="76"/>
      <c r="B53" s="76"/>
    </row>
    <row r="54" spans="1:4" x14ac:dyDescent="0.3">
      <c r="A54" s="67" t="s">
        <v>50</v>
      </c>
      <c r="B54" s="67" t="s">
        <v>65</v>
      </c>
      <c r="D54" t="s">
        <v>0</v>
      </c>
    </row>
    <row r="55" spans="1:4" x14ac:dyDescent="0.3">
      <c r="A55" s="66">
        <v>2020</v>
      </c>
      <c r="B55" s="68">
        <f>D55/$C$21</f>
        <v>-1811.8043356880489</v>
      </c>
      <c r="D55" s="65">
        <f t="array" ref="D55:D67">TRANSPOSE(M27:Y27)</f>
        <v>-6.522495608476976E-3</v>
      </c>
    </row>
    <row r="56" spans="1:4" x14ac:dyDescent="0.3">
      <c r="A56" s="66">
        <v>2021</v>
      </c>
      <c r="B56" s="68">
        <f t="shared" ref="B56:B67" si="7">D56/$C$21</f>
        <v>-2921.2719653102204</v>
      </c>
      <c r="D56" s="65">
        <v>-1.0516579075116793E-2</v>
      </c>
    </row>
    <row r="57" spans="1:4" x14ac:dyDescent="0.3">
      <c r="A57" s="66">
        <v>2022</v>
      </c>
      <c r="B57" s="68">
        <f t="shared" si="7"/>
        <v>-4044.7345538030049</v>
      </c>
      <c r="D57" s="65">
        <v>-1.4561044393690816E-2</v>
      </c>
    </row>
    <row r="58" spans="1:4" x14ac:dyDescent="0.3">
      <c r="A58" s="66">
        <v>2023</v>
      </c>
      <c r="B58" s="68">
        <f t="shared" si="7"/>
        <v>-4835.8847702042849</v>
      </c>
      <c r="D58" s="65">
        <v>-1.7409185172735424E-2</v>
      </c>
    </row>
    <row r="59" spans="1:4" x14ac:dyDescent="0.3">
      <c r="A59" s="66">
        <v>2024</v>
      </c>
      <c r="B59" s="68">
        <f t="shared" si="7"/>
        <v>-5955.2317922701877</v>
      </c>
      <c r="D59" s="65">
        <v>-2.1438834452172675E-2</v>
      </c>
    </row>
    <row r="60" spans="1:4" x14ac:dyDescent="0.3">
      <c r="A60" s="66">
        <v>2025</v>
      </c>
      <c r="B60" s="68">
        <f t="shared" si="7"/>
        <v>-7118.2689437258432</v>
      </c>
      <c r="D60" s="65">
        <v>-2.5625768197413034E-2</v>
      </c>
    </row>
    <row r="61" spans="1:4" x14ac:dyDescent="0.3">
      <c r="A61" s="66">
        <v>2026</v>
      </c>
      <c r="B61" s="68">
        <f t="shared" si="7"/>
        <v>-8334.4386554828761</v>
      </c>
      <c r="D61" s="65">
        <v>-3.0003979159738351E-2</v>
      </c>
    </row>
    <row r="62" spans="1:4" x14ac:dyDescent="0.3">
      <c r="A62" s="66">
        <v>2027</v>
      </c>
      <c r="B62" s="68">
        <f t="shared" si="7"/>
        <v>-10012.986582250973</v>
      </c>
      <c r="D62" s="65">
        <v>-3.6046751696103503E-2</v>
      </c>
    </row>
    <row r="63" spans="1:4" x14ac:dyDescent="0.3">
      <c r="A63" s="66">
        <v>2028</v>
      </c>
      <c r="B63" s="68">
        <f t="shared" si="7"/>
        <v>-10870.513702924662</v>
      </c>
      <c r="D63" s="65">
        <v>-3.9133849330528783E-2</v>
      </c>
    </row>
    <row r="64" spans="1:4" x14ac:dyDescent="0.3">
      <c r="A64" s="66">
        <v>2029</v>
      </c>
      <c r="B64" s="68">
        <f t="shared" si="7"/>
        <v>-12244.722746222911</v>
      </c>
      <c r="D64" s="65">
        <v>-4.4081001886402481E-2</v>
      </c>
    </row>
    <row r="65" spans="1:4" x14ac:dyDescent="0.3">
      <c r="A65" s="66">
        <v>2030</v>
      </c>
      <c r="B65" s="68">
        <f t="shared" si="7"/>
        <v>-13694.218357100315</v>
      </c>
      <c r="D65" s="65">
        <v>-4.9299186085561129E-2</v>
      </c>
    </row>
    <row r="66" spans="1:4" x14ac:dyDescent="0.3">
      <c r="A66" s="66">
        <v>2031</v>
      </c>
      <c r="B66" s="68">
        <f t="shared" si="7"/>
        <v>-15220.290276610873</v>
      </c>
      <c r="D66" s="65">
        <v>-5.4793044995799137E-2</v>
      </c>
    </row>
    <row r="67" spans="1:4" x14ac:dyDescent="0.3">
      <c r="A67" s="66">
        <v>2032</v>
      </c>
      <c r="B67" s="68">
        <f t="shared" si="7"/>
        <v>-16811.023949290386</v>
      </c>
      <c r="D67" s="65">
        <v>-6.0519686217445384E-2</v>
      </c>
    </row>
  </sheetData>
  <mergeCells count="3">
    <mergeCell ref="B2:E2"/>
    <mergeCell ref="B23:E23"/>
    <mergeCell ref="A52:B5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Sheet1 (2)</vt:lpstr>
      <vt:lpstr>Sheet1 (3)</vt:lpstr>
      <vt:lpstr>Sheet1 (4)</vt:lpstr>
      <vt:lpstr>Sheet1 (1)</vt:lpstr>
      <vt:lpstr>Metas eficiencia energetica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2019-04-15T05:05:32Z</dcterms:created>
  <dcterms:modified xsi:type="dcterms:W3CDTF">2019-04-25T04:59:58Z</dcterms:modified>
</cp:coreProperties>
</file>