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S\PECC Chih\Entregable_InvEstGEI_Ch13-17\Total_Estatal\"/>
    </mc:Choice>
  </mc:AlternateContent>
  <xr:revisionPtr revIDLastSave="0" documentId="13_ncr:1_{617074E5-12C4-48AC-8747-CCE549385FAE}" xr6:coauthVersionLast="36" xr6:coauthVersionMax="40" xr10:uidLastSave="{00000000-0000-0000-0000-000000000000}"/>
  <bookViews>
    <workbookView xWindow="0" yWindow="0" windowWidth="16368" windowHeight="2352" tabRatio="792" activeTab="3" xr2:uid="{18419993-BAA8-403A-8E2C-4761FE4E6D4F}"/>
  </bookViews>
  <sheets>
    <sheet name="InvEstatalGEI_Chihuahua13-17 B" sheetId="1" r:id="rId1"/>
    <sheet name="Inventario COCEF" sheetId="7" r:id="rId2"/>
    <sheet name="Por Sector B" sheetId="2" r:id="rId3"/>
    <sheet name="Energia B" sheetId="5" r:id="rId4"/>
    <sheet name="Transporte B" sheetId="3" r:id="rId5"/>
    <sheet name="Ganado B" sheetId="4" r:id="rId6"/>
  </sheets>
  <externalReferences>
    <externalReference r:id="rId7"/>
  </externalReferenc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4" l="1"/>
  <c r="M10" i="4"/>
  <c r="M9" i="4"/>
  <c r="D15" i="3"/>
  <c r="J15" i="3" s="1"/>
  <c r="E15" i="3"/>
  <c r="F15" i="3"/>
  <c r="F18" i="3" s="1"/>
  <c r="G15" i="3"/>
  <c r="H15" i="3"/>
  <c r="D16" i="3"/>
  <c r="E16" i="3"/>
  <c r="F16" i="3"/>
  <c r="G16" i="3"/>
  <c r="H16" i="3"/>
  <c r="J16" i="3" s="1"/>
  <c r="D17" i="3"/>
  <c r="E17" i="3"/>
  <c r="E18" i="3" s="1"/>
  <c r="F17" i="3"/>
  <c r="G17" i="3"/>
  <c r="H17" i="3"/>
  <c r="E14" i="3"/>
  <c r="F14" i="3"/>
  <c r="G14" i="3"/>
  <c r="G18" i="3" s="1"/>
  <c r="H14" i="3"/>
  <c r="H18" i="3" s="1"/>
  <c r="D14" i="3"/>
  <c r="D18" i="3" s="1"/>
  <c r="J14" i="3" l="1"/>
  <c r="J17" i="3"/>
  <c r="M22" i="5" l="1"/>
  <c r="K39" i="1" l="1"/>
  <c r="J39" i="1"/>
  <c r="I39" i="1"/>
  <c r="H39" i="1"/>
  <c r="G39" i="1"/>
  <c r="K38" i="1"/>
  <c r="J38" i="1"/>
  <c r="I38" i="1"/>
  <c r="H38" i="1"/>
  <c r="G38" i="1"/>
  <c r="K37" i="1"/>
  <c r="J37" i="1"/>
  <c r="I37" i="1"/>
  <c r="H37" i="1"/>
  <c r="G37" i="1"/>
  <c r="S9" i="7" l="1"/>
  <c r="T9" i="7"/>
  <c r="U9" i="7"/>
  <c r="V9" i="7"/>
  <c r="R9" i="7"/>
  <c r="S23" i="7" l="1"/>
  <c r="T23" i="7"/>
  <c r="U23" i="7"/>
  <c r="V23" i="7"/>
  <c r="R23" i="7"/>
  <c r="D45" i="7"/>
  <c r="E45" i="7"/>
  <c r="F45" i="7"/>
  <c r="G45" i="7"/>
  <c r="H45" i="7"/>
  <c r="I45" i="7"/>
  <c r="J45" i="7"/>
  <c r="C41" i="7"/>
  <c r="C45" i="7" s="1"/>
  <c r="M137" i="1"/>
  <c r="M158" i="1"/>
  <c r="M43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19" i="1"/>
  <c r="H73" i="5" l="1"/>
  <c r="H74" i="5" s="1"/>
  <c r="I73" i="5"/>
  <c r="I74" i="5" s="1"/>
  <c r="J73" i="5"/>
  <c r="J74" i="5" s="1"/>
  <c r="K73" i="5"/>
  <c r="K74" i="5" s="1"/>
  <c r="G73" i="5"/>
  <c r="G74" i="5" s="1"/>
  <c r="K51" i="5" l="1"/>
  <c r="J51" i="5"/>
  <c r="I51" i="5"/>
  <c r="I45" i="5" s="1"/>
  <c r="H51" i="5"/>
  <c r="H45" i="5" s="1"/>
  <c r="G51" i="5"/>
  <c r="G45" i="5" s="1"/>
  <c r="K47" i="5"/>
  <c r="J47" i="5"/>
  <c r="I47" i="5"/>
  <c r="H47" i="5"/>
  <c r="G47" i="5"/>
  <c r="K45" i="5"/>
  <c r="J45" i="5"/>
  <c r="K42" i="5"/>
  <c r="M42" i="5" s="1"/>
  <c r="J42" i="5"/>
  <c r="I42" i="5"/>
  <c r="H42" i="5"/>
  <c r="G42" i="5"/>
  <c r="H36" i="5"/>
  <c r="K18" i="5"/>
  <c r="J18" i="5"/>
  <c r="I18" i="5"/>
  <c r="H18" i="5"/>
  <c r="G18" i="5"/>
  <c r="D36" i="4"/>
  <c r="D37" i="4"/>
  <c r="D38" i="4"/>
  <c r="D39" i="4"/>
  <c r="D35" i="4"/>
  <c r="K29" i="4"/>
  <c r="J29" i="4"/>
  <c r="I29" i="4"/>
  <c r="H29" i="4"/>
  <c r="G29" i="4"/>
  <c r="K28" i="4"/>
  <c r="J28" i="4"/>
  <c r="I28" i="4"/>
  <c r="H28" i="4"/>
  <c r="G28" i="4"/>
  <c r="K27" i="4"/>
  <c r="J27" i="4"/>
  <c r="I27" i="4"/>
  <c r="H27" i="4"/>
  <c r="G27" i="4"/>
  <c r="K26" i="4"/>
  <c r="J26" i="4"/>
  <c r="I26" i="4"/>
  <c r="H26" i="4"/>
  <c r="G26" i="4"/>
  <c r="K25" i="4"/>
  <c r="J25" i="4"/>
  <c r="I25" i="4"/>
  <c r="H25" i="4"/>
  <c r="G25" i="4"/>
  <c r="K24" i="4"/>
  <c r="J24" i="4"/>
  <c r="I24" i="4"/>
  <c r="H24" i="4"/>
  <c r="G24" i="4"/>
  <c r="K23" i="4"/>
  <c r="J23" i="4"/>
  <c r="I23" i="4"/>
  <c r="H23" i="4"/>
  <c r="G23" i="4"/>
  <c r="K22" i="4"/>
  <c r="J22" i="4"/>
  <c r="I22" i="4"/>
  <c r="H22" i="4"/>
  <c r="G22" i="4"/>
  <c r="K19" i="4"/>
  <c r="J19" i="4"/>
  <c r="I19" i="4"/>
  <c r="H19" i="4"/>
  <c r="G19" i="4"/>
  <c r="K18" i="4"/>
  <c r="J18" i="4"/>
  <c r="I18" i="4"/>
  <c r="H18" i="4"/>
  <c r="G18" i="4"/>
  <c r="K16" i="4"/>
  <c r="J16" i="4"/>
  <c r="I16" i="4"/>
  <c r="H16" i="4"/>
  <c r="G16" i="4"/>
  <c r="K15" i="4"/>
  <c r="J15" i="4"/>
  <c r="I15" i="4"/>
  <c r="H15" i="4"/>
  <c r="G15" i="4"/>
  <c r="K14" i="4"/>
  <c r="J14" i="4"/>
  <c r="I14" i="4"/>
  <c r="H14" i="4"/>
  <c r="G14" i="4"/>
  <c r="K13" i="4"/>
  <c r="J13" i="4"/>
  <c r="I13" i="4"/>
  <c r="H13" i="4"/>
  <c r="G13" i="4"/>
  <c r="K12" i="4"/>
  <c r="J12" i="4"/>
  <c r="I12" i="4"/>
  <c r="H12" i="4"/>
  <c r="G12" i="4"/>
  <c r="M18" i="5" l="1"/>
  <c r="M51" i="5"/>
  <c r="H17" i="5"/>
  <c r="H16" i="5" s="1"/>
  <c r="J36" i="5"/>
  <c r="K36" i="5"/>
  <c r="I36" i="5"/>
  <c r="G36" i="5"/>
  <c r="D25" i="3"/>
  <c r="E26" i="3"/>
  <c r="H27" i="3" l="1"/>
  <c r="J18" i="3"/>
  <c r="G25" i="3"/>
  <c r="F25" i="3"/>
  <c r="E25" i="3"/>
  <c r="G27" i="3"/>
  <c r="F27" i="3"/>
  <c r="E27" i="3"/>
  <c r="D28" i="3"/>
  <c r="D26" i="3"/>
  <c r="M36" i="5"/>
  <c r="K17" i="5"/>
  <c r="I17" i="5"/>
  <c r="I16" i="5" s="1"/>
  <c r="H28" i="3"/>
  <c r="G28" i="3"/>
  <c r="J17" i="5"/>
  <c r="J16" i="5" s="1"/>
  <c r="D27" i="3"/>
  <c r="F28" i="3"/>
  <c r="H26" i="3"/>
  <c r="E28" i="3"/>
  <c r="G26" i="3"/>
  <c r="H25" i="3"/>
  <c r="J25" i="3" s="1"/>
  <c r="F26" i="3"/>
  <c r="G17" i="5"/>
  <c r="G16" i="5" s="1"/>
  <c r="H21" i="2"/>
  <c r="I21" i="2"/>
  <c r="J21" i="2"/>
  <c r="K21" i="2"/>
  <c r="H29" i="2"/>
  <c r="I29" i="2"/>
  <c r="J29" i="2"/>
  <c r="K29" i="2"/>
  <c r="G29" i="2"/>
  <c r="G21" i="2"/>
  <c r="J27" i="3" l="1"/>
  <c r="J28" i="3"/>
  <c r="J26" i="3"/>
  <c r="M17" i="5"/>
  <c r="K16" i="5"/>
  <c r="M16" i="5" s="1"/>
  <c r="H174" i="1"/>
  <c r="H31" i="2" s="1"/>
  <c r="I174" i="1"/>
  <c r="I31" i="2" s="1"/>
  <c r="J174" i="1"/>
  <c r="J31" i="2" s="1"/>
  <c r="K174" i="1"/>
  <c r="K31" i="2" s="1"/>
  <c r="G174" i="1"/>
  <c r="G31" i="2" s="1"/>
  <c r="H166" i="1"/>
  <c r="I166" i="1"/>
  <c r="J166" i="1"/>
  <c r="K166" i="1"/>
  <c r="G166" i="1"/>
  <c r="H171" i="1"/>
  <c r="H30" i="2" s="1"/>
  <c r="I171" i="1"/>
  <c r="I30" i="2" s="1"/>
  <c r="J171" i="1"/>
  <c r="J30" i="2" s="1"/>
  <c r="K171" i="1"/>
  <c r="K30" i="2" s="1"/>
  <c r="G171" i="1"/>
  <c r="G30" i="2" s="1"/>
  <c r="G28" i="2" l="1"/>
  <c r="G165" i="1"/>
  <c r="J28" i="2"/>
  <c r="J165" i="1"/>
  <c r="I28" i="2"/>
  <c r="I165" i="1"/>
  <c r="K28" i="2"/>
  <c r="K165" i="1"/>
  <c r="H28" i="2"/>
  <c r="H165" i="1"/>
  <c r="H151" i="1"/>
  <c r="H150" i="1" s="1"/>
  <c r="H26" i="2" s="1"/>
  <c r="I151" i="1"/>
  <c r="I150" i="1" s="1"/>
  <c r="I26" i="2" s="1"/>
  <c r="J151" i="1"/>
  <c r="J150" i="1" s="1"/>
  <c r="J26" i="2" s="1"/>
  <c r="K151" i="1"/>
  <c r="K150" i="1" s="1"/>
  <c r="K26" i="2" s="1"/>
  <c r="G151" i="1"/>
  <c r="G150" i="1" s="1"/>
  <c r="G26" i="2" s="1"/>
  <c r="S31" i="7" l="1"/>
  <c r="H27" i="2"/>
  <c r="V31" i="7"/>
  <c r="K27" i="2"/>
  <c r="T31" i="7"/>
  <c r="I27" i="2"/>
  <c r="U31" i="7"/>
  <c r="J27" i="2"/>
  <c r="R31" i="7"/>
  <c r="G27" i="2"/>
  <c r="H147" i="1"/>
  <c r="I147" i="1"/>
  <c r="J147" i="1"/>
  <c r="K147" i="1"/>
  <c r="G147" i="1"/>
  <c r="H144" i="1"/>
  <c r="I144" i="1"/>
  <c r="J144" i="1"/>
  <c r="K144" i="1"/>
  <c r="G144" i="1"/>
  <c r="H141" i="1"/>
  <c r="I141" i="1"/>
  <c r="J141" i="1"/>
  <c r="K141" i="1"/>
  <c r="G141" i="1"/>
  <c r="H138" i="1"/>
  <c r="I138" i="1"/>
  <c r="J138" i="1"/>
  <c r="K138" i="1"/>
  <c r="G138" i="1"/>
  <c r="H135" i="1"/>
  <c r="I135" i="1"/>
  <c r="J135" i="1"/>
  <c r="K135" i="1"/>
  <c r="K131" i="1" s="1"/>
  <c r="G135" i="1"/>
  <c r="H132" i="1"/>
  <c r="H131" i="1" s="1"/>
  <c r="I132" i="1"/>
  <c r="I131" i="1" s="1"/>
  <c r="J132" i="1"/>
  <c r="J131" i="1" s="1"/>
  <c r="K132" i="1"/>
  <c r="G132" i="1"/>
  <c r="U41" i="7" l="1"/>
  <c r="J25" i="2"/>
  <c r="T41" i="7"/>
  <c r="I25" i="2"/>
  <c r="S41" i="7"/>
  <c r="H25" i="2"/>
  <c r="V41" i="7"/>
  <c r="K25" i="2"/>
  <c r="G131" i="1"/>
  <c r="I120" i="1"/>
  <c r="K121" i="1"/>
  <c r="J121" i="1"/>
  <c r="I121" i="1"/>
  <c r="H121" i="1"/>
  <c r="G121" i="1"/>
  <c r="K117" i="1"/>
  <c r="K17" i="4" s="1"/>
  <c r="K111" i="1"/>
  <c r="J117" i="1"/>
  <c r="J17" i="4" s="1"/>
  <c r="J111" i="1"/>
  <c r="I117" i="1"/>
  <c r="I17" i="4" s="1"/>
  <c r="I111" i="1"/>
  <c r="H117" i="1"/>
  <c r="H17" i="4" s="1"/>
  <c r="H111" i="1"/>
  <c r="G117" i="1"/>
  <c r="G17" i="4" s="1"/>
  <c r="G111" i="1"/>
  <c r="K110" i="1" l="1"/>
  <c r="G120" i="1"/>
  <c r="M121" i="1"/>
  <c r="G21" i="4"/>
  <c r="G20" i="4" s="1"/>
  <c r="H110" i="1"/>
  <c r="H11" i="4"/>
  <c r="H10" i="4" s="1"/>
  <c r="I110" i="1"/>
  <c r="I11" i="4"/>
  <c r="I10" i="4" s="1"/>
  <c r="H120" i="1"/>
  <c r="H21" i="4"/>
  <c r="H20" i="4" s="1"/>
  <c r="J110" i="1"/>
  <c r="J109" i="1" s="1"/>
  <c r="U37" i="7" s="1"/>
  <c r="J11" i="4"/>
  <c r="J10" i="4" s="1"/>
  <c r="I21" i="4"/>
  <c r="I20" i="4" s="1"/>
  <c r="J120" i="1"/>
  <c r="J21" i="4"/>
  <c r="J20" i="4" s="1"/>
  <c r="M111" i="1"/>
  <c r="G11" i="4"/>
  <c r="G10" i="4" s="1"/>
  <c r="K11" i="4"/>
  <c r="K10" i="4" s="1"/>
  <c r="K120" i="1"/>
  <c r="K109" i="1" s="1"/>
  <c r="V37" i="7" s="1"/>
  <c r="K21" i="4"/>
  <c r="K20" i="4" s="1"/>
  <c r="G110" i="1"/>
  <c r="G109" i="1" s="1"/>
  <c r="R37" i="7" s="1"/>
  <c r="R41" i="7"/>
  <c r="G25" i="2"/>
  <c r="I109" i="1"/>
  <c r="T37" i="7" s="1"/>
  <c r="J108" i="1"/>
  <c r="J23" i="2" s="1"/>
  <c r="H56" i="1"/>
  <c r="I56" i="1"/>
  <c r="J56" i="1"/>
  <c r="K56" i="1"/>
  <c r="G56" i="1"/>
  <c r="H73" i="1"/>
  <c r="H22" i="2" s="1"/>
  <c r="I73" i="1"/>
  <c r="I22" i="2" s="1"/>
  <c r="J73" i="1"/>
  <c r="J22" i="2" s="1"/>
  <c r="K73" i="1"/>
  <c r="K22" i="2" s="1"/>
  <c r="G73" i="1"/>
  <c r="G22" i="2" s="1"/>
  <c r="J24" i="2" l="1"/>
  <c r="H109" i="1"/>
  <c r="K55" i="1"/>
  <c r="K20" i="2"/>
  <c r="G24" i="2"/>
  <c r="G108" i="1"/>
  <c r="G23" i="2" s="1"/>
  <c r="I55" i="1"/>
  <c r="I20" i="2"/>
  <c r="H9" i="4"/>
  <c r="J55" i="1"/>
  <c r="J20" i="2"/>
  <c r="K9" i="4"/>
  <c r="I9" i="4"/>
  <c r="H55" i="1"/>
  <c r="H20" i="2"/>
  <c r="G55" i="1"/>
  <c r="R26" i="7" s="1"/>
  <c r="G20" i="2"/>
  <c r="G9" i="4"/>
  <c r="J9" i="4"/>
  <c r="K24" i="2"/>
  <c r="K108" i="1"/>
  <c r="K23" i="2" s="1"/>
  <c r="I24" i="2"/>
  <c r="I108" i="1"/>
  <c r="I23" i="2" s="1"/>
  <c r="G19" i="2"/>
  <c r="G51" i="1"/>
  <c r="G42" i="1"/>
  <c r="G18" i="1"/>
  <c r="R3" i="7" s="1"/>
  <c r="H51" i="1"/>
  <c r="H45" i="1" s="1"/>
  <c r="H18" i="2" s="1"/>
  <c r="I51" i="1"/>
  <c r="I45" i="1" s="1"/>
  <c r="I18" i="2" s="1"/>
  <c r="J51" i="1"/>
  <c r="J45" i="1" s="1"/>
  <c r="J18" i="2" s="1"/>
  <c r="K51" i="1"/>
  <c r="K45" i="1" s="1"/>
  <c r="K18" i="2" s="1"/>
  <c r="S26" i="7" l="1"/>
  <c r="H19" i="2"/>
  <c r="V26" i="7"/>
  <c r="K19" i="2"/>
  <c r="U26" i="7"/>
  <c r="J19" i="2"/>
  <c r="S37" i="7"/>
  <c r="H24" i="2"/>
  <c r="H108" i="1"/>
  <c r="H23" i="2" s="1"/>
  <c r="T26" i="7"/>
  <c r="I19" i="2"/>
  <c r="G45" i="1"/>
  <c r="G18" i="2" s="1"/>
  <c r="H47" i="1"/>
  <c r="I47" i="1"/>
  <c r="J47" i="1"/>
  <c r="K47" i="1"/>
  <c r="G47" i="1"/>
  <c r="H42" i="1" l="1"/>
  <c r="I42" i="1"/>
  <c r="J42" i="1"/>
  <c r="K42" i="1"/>
  <c r="I36" i="1" l="1"/>
  <c r="T16" i="7" s="1"/>
  <c r="H36" i="1"/>
  <c r="S16" i="7" s="1"/>
  <c r="G36" i="1"/>
  <c r="R16" i="7" s="1"/>
  <c r="R45" i="7" s="1"/>
  <c r="J36" i="1" l="1"/>
  <c r="U16" i="7" s="1"/>
  <c r="K36" i="1"/>
  <c r="V16" i="7" s="1"/>
  <c r="M38" i="1"/>
  <c r="G17" i="1"/>
  <c r="H18" i="1"/>
  <c r="S3" i="7" s="1"/>
  <c r="S45" i="7" s="1"/>
  <c r="I18" i="1"/>
  <c r="J18" i="1"/>
  <c r="K18" i="1"/>
  <c r="K17" i="1" l="1"/>
  <c r="K16" i="1" s="1"/>
  <c r="V3" i="7"/>
  <c r="V45" i="7" s="1"/>
  <c r="J17" i="1"/>
  <c r="J16" i="1" s="1"/>
  <c r="U3" i="7"/>
  <c r="U45" i="7" s="1"/>
  <c r="I17" i="1"/>
  <c r="I16" i="1" s="1"/>
  <c r="T3" i="7"/>
  <c r="T45" i="7" s="1"/>
  <c r="G16" i="1"/>
  <c r="G17" i="2"/>
  <c r="H17" i="1"/>
  <c r="I17" i="2" l="1"/>
  <c r="J17" i="2"/>
  <c r="K17" i="2"/>
  <c r="G16" i="2"/>
  <c r="G15" i="1"/>
  <c r="G14" i="1"/>
  <c r="G178" i="1"/>
  <c r="G179" i="1" s="1"/>
  <c r="K16" i="2"/>
  <c r="K178" i="1"/>
  <c r="K179" i="1" s="1"/>
  <c r="K15" i="1"/>
  <c r="K14" i="1"/>
  <c r="H16" i="1"/>
  <c r="H17" i="2"/>
  <c r="J16" i="2"/>
  <c r="J15" i="1"/>
  <c r="J14" i="1"/>
  <c r="J178" i="1"/>
  <c r="J179" i="1" s="1"/>
  <c r="I16" i="2"/>
  <c r="I15" i="1"/>
  <c r="I178" i="1"/>
  <c r="I179" i="1" s="1"/>
  <c r="I14" i="1"/>
  <c r="H16" i="2" l="1"/>
  <c r="H15" i="1"/>
  <c r="H14" i="1"/>
  <c r="H178" i="1"/>
  <c r="H179" i="1" s="1"/>
  <c r="M14" i="1" l="1"/>
  <c r="N158" i="1" l="1"/>
  <c r="N19" i="1"/>
  <c r="N137" i="1"/>
  <c r="N43" i="1"/>
  <c r="N22" i="1"/>
  <c r="N111" i="1"/>
  <c r="N121" i="1"/>
  <c r="N38" i="1"/>
  <c r="N14" i="1" l="1"/>
</calcChain>
</file>

<file path=xl/sharedStrings.xml><?xml version="1.0" encoding="utf-8"?>
<sst xmlns="http://schemas.openxmlformats.org/spreadsheetml/2006/main" count="385" uniqueCount="269">
  <si>
    <t>1 Energía</t>
  </si>
  <si>
    <t>1A Actividades de quema del combustible</t>
  </si>
  <si>
    <t>1A1 Industrias de la energía</t>
  </si>
  <si>
    <t>1A1a Actividad principal producción de electricidad y calor</t>
  </si>
  <si>
    <t>1A1b Refinación del petróleo</t>
  </si>
  <si>
    <t>1A1c Manufactura de combustibles sólidos y otras industrias de la energía</t>
  </si>
  <si>
    <t>1A2 Industrias manufactura y de la construcción</t>
  </si>
  <si>
    <t>1A2a Hierro y acero</t>
  </si>
  <si>
    <t>1A2b Metales no ferrosos</t>
  </si>
  <si>
    <t>1A2c Sustancias químicas</t>
  </si>
  <si>
    <t>1A2d Pulpa, papel e imprenta</t>
  </si>
  <si>
    <t>1A2e Procesamiento de alimentos, bebidas y tabaco</t>
  </si>
  <si>
    <t>1A2f Minerales no metálicos</t>
  </si>
  <si>
    <t>1A2g Equipo de transporte</t>
  </si>
  <si>
    <t>1A2h Maquinaria</t>
  </si>
  <si>
    <t>1A2i Minería (con excepción de combustibles) y cantería</t>
  </si>
  <si>
    <t>1A2j Madera y productos de la madera</t>
  </si>
  <si>
    <t>1A2k Construcción</t>
  </si>
  <si>
    <t>1A2l Textiles y cueros</t>
  </si>
  <si>
    <t>1A2m Industria no especificada</t>
  </si>
  <si>
    <t>1A3 Transporte</t>
  </si>
  <si>
    <t>1A3a Aviación civil</t>
  </si>
  <si>
    <t>1A3b Autotransporte</t>
  </si>
  <si>
    <t>1A3c Ferrocarriles</t>
  </si>
  <si>
    <t>1A3d Navegación marítima y fluvial</t>
  </si>
  <si>
    <t>1A3e Otro transporte</t>
  </si>
  <si>
    <t>1A4 Otros sectores</t>
  </si>
  <si>
    <t>1A4c Agropecuario/silvicultura/pesca/piscifactorías</t>
  </si>
  <si>
    <t>1B Emisiones fugitivas provenientes de la fabricación de combustibles</t>
  </si>
  <si>
    <t>1B1 Combustibles sólidos</t>
  </si>
  <si>
    <t>1B1a Minería carbonífera y manejo del carbón</t>
  </si>
  <si>
    <t>1B1ai Minas subterráneas</t>
  </si>
  <si>
    <t>1B1aii Minas superficie</t>
  </si>
  <si>
    <t>1B1b Combustión espontánea y vertederos para quema de carbón</t>
  </si>
  <si>
    <t>1B2 Petróleo y gas natural</t>
  </si>
  <si>
    <t>1B2a Petróleo</t>
  </si>
  <si>
    <t>1B2 Quemado en petróleo y gas</t>
  </si>
  <si>
    <t>2 Procesos industriales</t>
  </si>
  <si>
    <t>2A Industria de los minerales</t>
  </si>
  <si>
    <t>2A1 Producción de cemento</t>
  </si>
  <si>
    <t>2A2 Producción de cal</t>
  </si>
  <si>
    <t>2A3 Producción de vidrio</t>
  </si>
  <si>
    <t>2A4 Otros usos de carbonatos</t>
  </si>
  <si>
    <t>2A5 Otros</t>
  </si>
  <si>
    <t>2B Industria química</t>
  </si>
  <si>
    <t>2B1 Producción de amoniaco</t>
  </si>
  <si>
    <t>2B2 Producción de ácido nítrico</t>
  </si>
  <si>
    <t>2B3 Producción de ácido adípico</t>
  </si>
  <si>
    <t>2B4 Producción de caprolactama, glioxil y ácido glioxílico</t>
  </si>
  <si>
    <t>2B5 Producción de carburo</t>
  </si>
  <si>
    <t>2B6 Producción de dióxido de titanio</t>
  </si>
  <si>
    <t>2B7 Producción de ceniza de sosa</t>
  </si>
  <si>
    <t>2B8 Producción petroquímica y negro de humo</t>
  </si>
  <si>
    <t>2B9 Producción fluoroquímica</t>
  </si>
  <si>
    <t>2B10 Otros</t>
  </si>
  <si>
    <t>2C Industria de los metales</t>
  </si>
  <si>
    <t>2C1 Producción de hierro y acero</t>
  </si>
  <si>
    <t>2C2 Producción de ferroaleaciones</t>
  </si>
  <si>
    <t>2C3 Producción de aluminio</t>
  </si>
  <si>
    <t>2C4 Producción de magnesio</t>
  </si>
  <si>
    <t>2C5 Producción de plomo</t>
  </si>
  <si>
    <t>2C6 Producción de zinc</t>
  </si>
  <si>
    <t>2C7 Otros</t>
  </si>
  <si>
    <t>2D Uso de productos no energéticos de combustibles y de solvente</t>
  </si>
  <si>
    <t>2D1 Uso de lubricantes</t>
  </si>
  <si>
    <t>2D2 Uso de la cera de parafina</t>
  </si>
  <si>
    <t>2D3 Uso de solventes</t>
  </si>
  <si>
    <t>2D4 Otros</t>
  </si>
  <si>
    <t>2E Industria electrónica</t>
  </si>
  <si>
    <t>2E1 Circuitos integrados o semiconductores</t>
  </si>
  <si>
    <t>2E2 Pantalla plana tipo TFT</t>
  </si>
  <si>
    <t>2E3 Células fotovoltaicas</t>
  </si>
  <si>
    <t>2E4 Fluido de transferencia térmica</t>
  </si>
  <si>
    <t>2E5 Otros</t>
  </si>
  <si>
    <t>2F Uso de productos sustitutos de las sustancias que agotan la capa de ozono</t>
  </si>
  <si>
    <t>2F1 Refrigeración y aire acondicionado</t>
  </si>
  <si>
    <t>2F2 Agentes espumantes</t>
  </si>
  <si>
    <t>2F3 Proteccipón contra incendios</t>
  </si>
  <si>
    <t>2F4 Aerosoles</t>
  </si>
  <si>
    <t>2F5 Solventes</t>
  </si>
  <si>
    <t>2F6 Otras aplicaciones</t>
  </si>
  <si>
    <t>2G Manufactura y utilización de otros productos</t>
  </si>
  <si>
    <t>2G1 Equipos eléctricos</t>
  </si>
  <si>
    <t>2G2 SF6 y PFC de otros usos de productos</t>
  </si>
  <si>
    <t>2G3 N2O de usos de productos</t>
  </si>
  <si>
    <t>2G4 Otros</t>
  </si>
  <si>
    <t>2H Otros</t>
  </si>
  <si>
    <t>2H1 Industria de la pulpa y el papel</t>
  </si>
  <si>
    <t>2H2 Industria de la alimentación y las bebidas</t>
  </si>
  <si>
    <t>2H3 Otros</t>
  </si>
  <si>
    <t>3 Agricultura, silvicultura y otros usos de la tierra</t>
  </si>
  <si>
    <t xml:space="preserve">  3A Ganado</t>
  </si>
  <si>
    <t xml:space="preserve">     3A1 Fermentación entérica</t>
  </si>
  <si>
    <t xml:space="preserve">          3A1a Bovino</t>
  </si>
  <si>
    <t xml:space="preserve">          3A1b Búfalos</t>
  </si>
  <si>
    <t xml:space="preserve">             3A1c Ovinos</t>
  </si>
  <si>
    <t xml:space="preserve">          3A1d Caprino</t>
  </si>
  <si>
    <t xml:space="preserve">          3A1e Camello</t>
  </si>
  <si>
    <t xml:space="preserve">          3A1f Caballos</t>
  </si>
  <si>
    <t xml:space="preserve">          3A1g Mulas y asnos</t>
  </si>
  <si>
    <t xml:space="preserve">          3A1h Porcinos</t>
  </si>
  <si>
    <t xml:space="preserve">          3A1i Otros  (especificar)</t>
  </si>
  <si>
    <t xml:space="preserve">     3A2 Gestión del estiércol</t>
  </si>
  <si>
    <t xml:space="preserve">          3A2a Bovinos</t>
  </si>
  <si>
    <t xml:space="preserve">          3A2b Búfalos</t>
  </si>
  <si>
    <t xml:space="preserve">             3A2c Ovinos</t>
  </si>
  <si>
    <t xml:space="preserve">          3A2d Caprino</t>
  </si>
  <si>
    <t xml:space="preserve">          3A2e Camello</t>
  </si>
  <si>
    <t xml:space="preserve">          3A2f Caballos</t>
  </si>
  <si>
    <t xml:space="preserve">          3A2g Mulas y asnos</t>
  </si>
  <si>
    <t xml:space="preserve">          3A2h Porcinos</t>
  </si>
  <si>
    <t xml:space="preserve">          3A2i aves de corral</t>
  </si>
  <si>
    <t xml:space="preserve">          3A2g Otros  (especificar)</t>
  </si>
  <si>
    <t xml:space="preserve">  3B Tierra</t>
  </si>
  <si>
    <t xml:space="preserve">     3B1 Tierra forestales</t>
  </si>
  <si>
    <t xml:space="preserve">          3B1a Tierras forestales que permanecen como tal</t>
  </si>
  <si>
    <t xml:space="preserve">          3B1b Tierras convertidas a tierras forestales</t>
  </si>
  <si>
    <t xml:space="preserve">     3B2 Tierra de cultivo</t>
  </si>
  <si>
    <t xml:space="preserve">          3B2a Tierras de cultivo que permanecen como tal</t>
  </si>
  <si>
    <t xml:space="preserve">          3B2b Tierras convertidas a tierras de cultivo</t>
  </si>
  <si>
    <t xml:space="preserve">     3B3 Praderas</t>
  </si>
  <si>
    <t xml:space="preserve">          3B3a Praderas que permanecen como tal</t>
  </si>
  <si>
    <t xml:space="preserve">          3B3b Tierras convertidas en praderas</t>
  </si>
  <si>
    <t xml:space="preserve">     3B4 Humedales</t>
  </si>
  <si>
    <t xml:space="preserve">          3B4a Humedales que permanecen como tal</t>
  </si>
  <si>
    <t xml:space="preserve">          3B4b Tierras convertidas en humedales</t>
  </si>
  <si>
    <t xml:space="preserve">     3B5 Asentamientos </t>
  </si>
  <si>
    <t xml:space="preserve">          3B5a Asentamientos que permanecen como tal</t>
  </si>
  <si>
    <t xml:space="preserve">          3B5b Tierras convertidas en asentamientos</t>
  </si>
  <si>
    <t xml:space="preserve">     3B6 Otras tierras </t>
  </si>
  <si>
    <t xml:space="preserve">     3C1 Emisiones de GEI por quemado de biomasa</t>
  </si>
  <si>
    <t xml:space="preserve">          3C1a Emisiones de quemado de biomasa en tierras forestales</t>
  </si>
  <si>
    <t xml:space="preserve">          3C1b Emisiones de quemado de biomasa en tierras de cultivo</t>
  </si>
  <si>
    <t xml:space="preserve">          3C1c Emisiones de quemado de biomasa en tierras praderas</t>
  </si>
  <si>
    <t xml:space="preserve">          3C1d Emisiones de quemado de biomasa en otras tierras</t>
  </si>
  <si>
    <t xml:space="preserve">     3C2 Encalado</t>
  </si>
  <si>
    <t xml:space="preserve">     3C3 Aplicación de urea</t>
  </si>
  <si>
    <t xml:space="preserve">     3C7 Cultivo del arroz</t>
  </si>
  <si>
    <t xml:space="preserve">     3D1 Productos de madera recolectada</t>
  </si>
  <si>
    <t xml:space="preserve">     3D2 Otros (especificar)</t>
  </si>
  <si>
    <t>4 Residuos</t>
  </si>
  <si>
    <t>4A Eliminación de residuos sólidos</t>
  </si>
  <si>
    <t>4A1 Sitios gestionados de eliminación de residuos (rellenos sanitarios)</t>
  </si>
  <si>
    <t xml:space="preserve">4A2 Sitios no controlados de eliminación de residuos </t>
  </si>
  <si>
    <t>4A3 Tiraderos a cielo abierto para eliminación de residuos</t>
  </si>
  <si>
    <t>4B Tratamiento biológico de los residuos sólidos</t>
  </si>
  <si>
    <t>4C Incineración y quema a cielo abierto  de residuos</t>
  </si>
  <si>
    <t>4C1 Incineración de residuos peligrosos industriales y biológico infeccioso</t>
  </si>
  <si>
    <t>4C2 Quema a cielo abierto de residuos sólidos</t>
  </si>
  <si>
    <t>4D Tratamiento y eliminación de aguas residuales</t>
  </si>
  <si>
    <t>4D1 Tratamiento y eliminación de aguas residuales domésticas</t>
  </si>
  <si>
    <t>4D2 Tratamiento y eliminación de aguas residuales industriales</t>
  </si>
  <si>
    <t>4E Otros</t>
  </si>
  <si>
    <t xml:space="preserve">  3C Fuentes agregadas y fuentes de emisión no CO2 de la tierra</t>
  </si>
  <si>
    <t xml:space="preserve">     3C4 Emisiones directas de los N2O de los suelos gestionados</t>
  </si>
  <si>
    <t xml:space="preserve">     3C5 Emisiones indirectas de los N2O de los suelos gestionados</t>
  </si>
  <si>
    <t xml:space="preserve">     3C6 Emisiones indirectas de los N2O de la gestión del estiércol</t>
  </si>
  <si>
    <t>Alianza Sustentable</t>
  </si>
  <si>
    <t>ELABORACIÓN DEL INVENTARIO ESTATAL DE EMISIONES DE GASES DE EFECTO INVERNADERO DEL ESTADO DE CHIHUAHUA 2013 - 2017</t>
  </si>
  <si>
    <t>Elabora: Roberto Daniel Sosa Granados</t>
  </si>
  <si>
    <t>Nombre del cliente: Universidad de Chihuahua</t>
  </si>
  <si>
    <t>Registro: 2018Con0010_IEGyCEICh</t>
  </si>
  <si>
    <t>Fecha: 17 de diciembre de 2018</t>
  </si>
  <si>
    <t>Derechos reservados sobre la base de cálculo, prohibido su uso para fines ajenos al alcance del presente proyecto, o para su comercialización como herramienta de cálculo</t>
  </si>
  <si>
    <t>Con base en las Directrices del IPCC de 2006 para los inventarios nacionales de gases de efecto invernadero</t>
  </si>
  <si>
    <t xml:space="preserve">  3D Productos de madera recolectada y otros</t>
  </si>
  <si>
    <t>SECTOR/CATEGORÍA/FUENTE/SUBFUENTE DE EMISIÓN</t>
  </si>
  <si>
    <r>
      <t>EMISIONES ESTATALES TOTALES 2013 - 2017 (GgCO</t>
    </r>
    <r>
      <rPr>
        <b/>
        <vertAlign val="subscript"/>
        <sz val="12"/>
        <color theme="1" tint="0.249977111117893"/>
        <rFont val="Calibri"/>
        <family val="2"/>
        <scheme val="minor"/>
      </rPr>
      <t>2</t>
    </r>
    <r>
      <rPr>
        <b/>
        <sz val="12"/>
        <color theme="1" tint="0.249977111117893"/>
        <rFont val="Calibri"/>
        <family val="2"/>
        <scheme val="minor"/>
      </rPr>
      <t>e): CHIHUAHUA</t>
    </r>
  </si>
  <si>
    <t>1A4a y 1A4b Residencial/Comercial/institucional</t>
  </si>
  <si>
    <t>1B2b Gas natural (Transporte y Distribución)</t>
  </si>
  <si>
    <t xml:space="preserve">          3B6a Otras tierras que permanecen como tal</t>
  </si>
  <si>
    <t xml:space="preserve">          3B6b Tierras convertidas en otras tierras</t>
  </si>
  <si>
    <r>
      <t>EMISIONES BRUTAS ESTATALES (Gg de 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e): NO INCLUYE 3B TIERRA</t>
    </r>
  </si>
  <si>
    <r>
      <t>EMISIONES NETAS ESTATALES (GgCO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</t>
    </r>
  </si>
  <si>
    <t>Combustible</t>
  </si>
  <si>
    <t>Gasolina</t>
  </si>
  <si>
    <t>Turbosina</t>
  </si>
  <si>
    <t>Unidades</t>
  </si>
  <si>
    <t>2014</t>
  </si>
  <si>
    <t>2015</t>
  </si>
  <si>
    <t>2016</t>
  </si>
  <si>
    <t>2017</t>
  </si>
  <si>
    <t>Hoja: SECTOR 1A3</t>
  </si>
  <si>
    <t>Emisiones totales en % respecto al sector</t>
  </si>
  <si>
    <t>SECTOR 1A3: TRANSPORTE</t>
  </si>
  <si>
    <t>Total Sector 1A3</t>
  </si>
  <si>
    <t>Promedio</t>
  </si>
  <si>
    <t>Año</t>
  </si>
  <si>
    <t>Total</t>
  </si>
  <si>
    <t xml:space="preserve"> Leche</t>
  </si>
  <si>
    <t>Carne</t>
  </si>
  <si>
    <t>Bovinos (cabezas)</t>
  </si>
  <si>
    <t>tmca</t>
  </si>
  <si>
    <t>Fuente: Este libro, hoja: InvEstatalGEI_Chihuahua13-17</t>
  </si>
  <si>
    <t>Razon</t>
  </si>
  <si>
    <t>B_c/B_l</t>
  </si>
  <si>
    <t>Fuente: G:\PROJECTS\PECC Chih\Entregable_InvEstGEI_Ch13-17\Pecuario\ChihuahuaInVF.xlsx</t>
  </si>
  <si>
    <t>Sistema de Información Energética</t>
  </si>
  <si>
    <t>Sector Eléctrico Nacional</t>
  </si>
  <si>
    <t>Generación bruta de energía eléctrica por entidad federativa</t>
  </si>
  <si>
    <t>(megawatts-hora)</t>
  </si>
  <si>
    <t>REALES-ANUAL</t>
  </si>
  <si>
    <t>MWh</t>
  </si>
  <si>
    <t>Chihuahua</t>
  </si>
  <si>
    <t/>
  </si>
  <si>
    <t>Fuente: Sistema de Información Energética con información de CFE, incluye extinta LyFC.</t>
  </si>
  <si>
    <t>http://sie.energia.gob.mx/bdiController.do?action=cuadro&amp;cvecua=IIIA1C01</t>
  </si>
  <si>
    <t>Emisiones industria eléctrica</t>
  </si>
  <si>
    <r>
      <t>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</si>
  <si>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Emisiones específicas por generación eléctrica</t>
  </si>
  <si>
    <t>En base al Consumo Eléctrico</t>
  </si>
  <si>
    <t xml:space="preserve">En base a la Producción de Electricidad </t>
  </si>
  <si>
    <t xml:space="preserve">Gas/Diesel </t>
  </si>
  <si>
    <t>Gas Natural</t>
  </si>
  <si>
    <t xml:space="preserve">Combustóleo </t>
  </si>
  <si>
    <t>Electricidad Neta Importada</t>
  </si>
  <si>
    <t>Res/Com/Ind (RCI)</t>
  </si>
  <si>
    <t>Gas/Diesel</t>
  </si>
  <si>
    <t>Gasolina: Motor</t>
  </si>
  <si>
    <t>Gas Licuado de Petróleo</t>
  </si>
  <si>
    <t>Combustóleo</t>
  </si>
  <si>
    <t>Biocombustibles Sólidos: Leña</t>
  </si>
  <si>
    <t>Transporte</t>
  </si>
  <si>
    <t>Transportación Carretera-Gasolina</t>
  </si>
  <si>
    <t>Transportación Carretera-Diesel</t>
  </si>
  <si>
    <t>Transportación Carretera-GLP</t>
  </si>
  <si>
    <t>Transportación Carretera-Gas Nat.</t>
  </si>
  <si>
    <t>Aviación</t>
  </si>
  <si>
    <t>Ferrocarril</t>
  </si>
  <si>
    <t>Industria de Combustibles Fósiles</t>
  </si>
  <si>
    <t>Transmisión de Gas Natural</t>
  </si>
  <si>
    <t>Distribución de Gas Natural</t>
  </si>
  <si>
    <t>Procesos Industriales</t>
  </si>
  <si>
    <t>Producción de Cemento</t>
  </si>
  <si>
    <t>Producción de Hierro y Acero</t>
  </si>
  <si>
    <t>Uso de Piedra Caliza y Dolomita</t>
  </si>
  <si>
    <t>Sustitutos SDO</t>
  </si>
  <si>
    <t>Manejo de Residuos (Bruto)</t>
  </si>
  <si>
    <t>Aguas Residuales Domesticas</t>
  </si>
  <si>
    <t>Aguas Residuales Industriales</t>
  </si>
  <si>
    <t>Rellenos Sanitarios</t>
  </si>
  <si>
    <t>Quema a Cielo Abierto</t>
  </si>
  <si>
    <t>Almacenamiento de Carbono en Relleno Sanitario</t>
  </si>
  <si>
    <t>Agricultura</t>
  </si>
  <si>
    <t>Fermentación Entérica</t>
  </si>
  <si>
    <t>Manejo de Estiércol</t>
  </si>
  <si>
    <t xml:space="preserve">Suelos Manejados </t>
  </si>
  <si>
    <t xml:space="preserve">Silvicultura y Uso de Suelo </t>
  </si>
  <si>
    <t>Forestal (flujo de carbono)</t>
  </si>
  <si>
    <t>Incendios Forestales (sin emisiones de CO2)</t>
  </si>
  <si>
    <t>Cultivos Leñosos</t>
  </si>
  <si>
    <t>Suma de todos los verdes</t>
  </si>
  <si>
    <t>(Millones de Toneladas Métricas de CO2e)</t>
  </si>
  <si>
    <r>
      <t>(Millones de Toneladas Métricas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</si>
  <si>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3A Ganado + 3B2 Tierra de cultivo</t>
  </si>
  <si>
    <t>Contribución al total</t>
  </si>
  <si>
    <t>Promedio para categorías selectas</t>
  </si>
  <si>
    <t>Fuente: Elaboración propia</t>
  </si>
  <si>
    <t>Fuente original: G:\PROJECTS\PECC Chih\Entregable_InvEstGEI_Ch13-17\Transporte\Sector1A3_Transporte_Ch13-17.xlsx</t>
  </si>
  <si>
    <t>Fuente: Programa Estatal de Cambio Climático de Chihuahua. Cuantificación ambiental y socioeconómica de las políticas de mitigación de GEI. TAA 15-005 PID 2039, Abril 2016. Tabla 1. p 21.</t>
  </si>
  <si>
    <t>Suma de estas emisiones</t>
  </si>
  <si>
    <t>1A4a y 1A4b Res/Com/inst + 1A2 Ind manuf y constr</t>
  </si>
  <si>
    <t>Fuente: Elaboración propia con datos del inventario de emisiones de gases de efecto invernadero de Chihuahua.</t>
  </si>
  <si>
    <r>
      <t>3B Tierra - 3B2 Tierra de cultivo +  3C Fuentes agregadas y fuentes de emisión no CO</t>
    </r>
    <r>
      <rPr>
        <b/>
        <vertAlign val="subscript"/>
        <sz val="11"/>
        <color theme="1" tint="0.249977111117893"/>
        <rFont val="Calibri"/>
        <family val="2"/>
        <scheme val="minor"/>
      </rPr>
      <t>2</t>
    </r>
    <r>
      <rPr>
        <b/>
        <sz val="11"/>
        <color theme="1" tint="0.249977111117893"/>
        <rFont val="Calibri"/>
        <family val="2"/>
        <scheme val="minor"/>
      </rPr>
      <t xml:space="preserve"> de la tierra</t>
    </r>
  </si>
  <si>
    <t>Diesel - Autotransporte</t>
  </si>
  <si>
    <t>Diesel - Ferroviario</t>
  </si>
  <si>
    <r>
      <t>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e/GWh</t>
    </r>
  </si>
  <si>
    <r>
      <t>GgCO</t>
    </r>
    <r>
      <rPr>
        <vertAlign val="subscript"/>
        <sz val="9"/>
        <color indexed="63"/>
        <rFont val="Calibri"/>
        <family val="2"/>
      </rPr>
      <t>2</t>
    </r>
    <r>
      <rPr>
        <sz val="9"/>
        <color indexed="63"/>
        <rFont val="Calibri"/>
        <family val="2"/>
      </rPr>
      <t>e</t>
    </r>
  </si>
  <si>
    <r>
      <t>Tabla 8: Emisiones totales en GgCO</t>
    </r>
    <r>
      <rPr>
        <b/>
        <vertAlign val="subscript"/>
        <sz val="11"/>
        <color indexed="63"/>
        <rFont val="Calibri"/>
        <family val="2"/>
      </rPr>
      <t>2</t>
    </r>
    <r>
      <rPr>
        <b/>
        <sz val="11"/>
        <color indexed="63"/>
        <rFont val="Calibri"/>
        <family val="2"/>
      </rPr>
      <t>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</si>
</sst>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#,##0.00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vertAlign val="subscript"/>
      <sz val="12"/>
      <color theme="1" tint="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sz val="10"/>
      <name val="Arial"/>
      <family val="2"/>
    </font>
    <font>
      <b/>
      <vertAlign val="subscript"/>
      <sz val="11"/>
      <color indexed="63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vertAlign val="subscript"/>
      <sz val="9"/>
      <color indexed="63"/>
      <name val="Calibri"/>
      <family val="2"/>
    </font>
    <font>
      <sz val="9"/>
      <color indexed="63"/>
      <name val="Calibri"/>
      <family val="2"/>
    </font>
    <font>
      <sz val="9"/>
      <color theme="1"/>
      <name val="Calibri"/>
      <family val="2"/>
      <scheme val="minor"/>
    </font>
    <font>
      <b/>
      <vertAlign val="subscript"/>
      <sz val="11"/>
      <color theme="1" tint="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9" fontId="17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/>
    <xf numFmtId="0" fontId="20" fillId="9" borderId="10" applyNumberFormat="0" applyFont="0" applyAlignment="0" applyProtection="0"/>
  </cellStyleXfs>
  <cellXfs count="119">
    <xf numFmtId="0" fontId="0" fillId="0" borderId="0" xfId="0"/>
    <xf numFmtId="0" fontId="0" fillId="3" borderId="0" xfId="0" applyFill="1"/>
    <xf numFmtId="0" fontId="0" fillId="3" borderId="0" xfId="0" applyNumberFormat="1" applyFont="1" applyFill="1" applyBorder="1" applyAlignment="1"/>
    <xf numFmtId="0" fontId="3" fillId="3" borderId="0" xfId="0" applyFont="1" applyFill="1" applyProtection="1"/>
    <xf numFmtId="0" fontId="4" fillId="3" borderId="0" xfId="0" applyFont="1" applyFill="1" applyAlignment="1" applyProtection="1"/>
    <xf numFmtId="0" fontId="5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Protection="1"/>
    <xf numFmtId="0" fontId="5" fillId="3" borderId="0" xfId="0" applyFont="1" applyFill="1"/>
    <xf numFmtId="0" fontId="8" fillId="3" borderId="0" xfId="0" applyFont="1" applyFill="1" applyAlignment="1" applyProtection="1">
      <alignment horizontal="left"/>
    </xf>
    <xf numFmtId="0" fontId="10" fillId="4" borderId="2" xfId="1" applyNumberFormat="1" applyFont="1" applyFill="1" applyBorder="1" applyAlignment="1">
      <alignment horizontal="center"/>
    </xf>
    <xf numFmtId="0" fontId="10" fillId="4" borderId="0" xfId="0" applyFont="1" applyFill="1" applyProtection="1"/>
    <xf numFmtId="0" fontId="7" fillId="5" borderId="0" xfId="0" applyFont="1" applyFill="1" applyAlignment="1" applyProtection="1">
      <alignment horizontal="left"/>
    </xf>
    <xf numFmtId="4" fontId="11" fillId="5" borderId="9" xfId="0" applyNumberFormat="1" applyFont="1" applyFill="1" applyBorder="1" applyAlignment="1">
      <alignment horizontal="center"/>
    </xf>
    <xf numFmtId="4" fontId="13" fillId="6" borderId="1" xfId="0" applyNumberFormat="1" applyFont="1" applyFill="1" applyBorder="1" applyAlignment="1">
      <alignment horizontal="center"/>
    </xf>
    <xf numFmtId="4" fontId="0" fillId="7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4" fontId="14" fillId="3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" fontId="15" fillId="8" borderId="1" xfId="0" applyNumberFormat="1" applyFont="1" applyFill="1" applyBorder="1" applyAlignment="1">
      <alignment horizontal="center" vertical="center"/>
    </xf>
    <xf numFmtId="4" fontId="15" fillId="8" borderId="1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0" xfId="0" applyNumberFormat="1" applyFont="1" applyFill="1" applyBorder="1" applyAlignment="1"/>
    <xf numFmtId="0" fontId="0" fillId="0" borderId="0" xfId="0"/>
    <xf numFmtId="0" fontId="7" fillId="3" borderId="0" xfId="0" applyFont="1" applyFill="1" applyProtection="1"/>
    <xf numFmtId="0" fontId="18" fillId="4" borderId="2" xfId="1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/>
    <xf numFmtId="0" fontId="5" fillId="0" borderId="2" xfId="0" applyFont="1" applyBorder="1" applyAlignment="1">
      <alignment horizontal="center"/>
    </xf>
    <xf numFmtId="0" fontId="0" fillId="0" borderId="0" xfId="0" applyFill="1"/>
    <xf numFmtId="0" fontId="7" fillId="0" borderId="0" xfId="0" applyFont="1" applyFill="1" applyProtection="1"/>
    <xf numFmtId="0" fontId="5" fillId="0" borderId="0" xfId="0" applyFont="1" applyFill="1"/>
    <xf numFmtId="0" fontId="4" fillId="0" borderId="0" xfId="0" applyFont="1" applyFill="1" applyAlignment="1"/>
    <xf numFmtId="164" fontId="0" fillId="0" borderId="0" xfId="2" applyNumberFormat="1" applyFont="1"/>
    <xf numFmtId="0" fontId="18" fillId="4" borderId="13" xfId="1" applyNumberFormat="1" applyFont="1" applyFill="1" applyBorder="1" applyAlignment="1">
      <alignment horizontal="center"/>
    </xf>
    <xf numFmtId="9" fontId="0" fillId="0" borderId="0" xfId="0" applyNumberFormat="1"/>
    <xf numFmtId="0" fontId="10" fillId="4" borderId="12" xfId="1" applyNumberFormat="1" applyFont="1" applyFill="1" applyBorder="1" applyAlignment="1">
      <alignment horizontal="center"/>
    </xf>
    <xf numFmtId="0" fontId="0" fillId="0" borderId="2" xfId="0" applyBorder="1"/>
    <xf numFmtId="3" fontId="0" fillId="5" borderId="2" xfId="0" applyNumberFormat="1" applyFill="1" applyBorder="1"/>
    <xf numFmtId="9" fontId="0" fillId="3" borderId="0" xfId="2" applyFont="1" applyFill="1"/>
    <xf numFmtId="9" fontId="0" fillId="3" borderId="0" xfId="0" applyNumberFormat="1" applyFill="1"/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4" fontId="0" fillId="0" borderId="0" xfId="0" applyNumberFormat="1"/>
    <xf numFmtId="165" fontId="0" fillId="0" borderId="0" xfId="0" applyNumberFormat="1"/>
    <xf numFmtId="0" fontId="20" fillId="0" borderId="0" xfId="3" applyNumberFormat="1" applyFont="1" applyFill="1" applyBorder="1" applyAlignment="1"/>
    <xf numFmtId="0" fontId="20" fillId="3" borderId="0" xfId="3" applyNumberFormat="1" applyFont="1" applyFill="1" applyBorder="1" applyAlignment="1"/>
    <xf numFmtId="0" fontId="22" fillId="3" borderId="0" xfId="3" applyNumberFormat="1" applyFont="1" applyFill="1" applyBorder="1" applyAlignment="1"/>
    <xf numFmtId="0" fontId="22" fillId="3" borderId="1" xfId="3" applyNumberFormat="1" applyFont="1" applyFill="1" applyBorder="1" applyAlignment="1">
      <alignment horizontal="center" vertical="center"/>
    </xf>
    <xf numFmtId="0" fontId="22" fillId="3" borderId="1" xfId="3" applyNumberFormat="1" applyFont="1" applyFill="1" applyBorder="1" applyAlignment="1">
      <alignment horizontal="center"/>
    </xf>
    <xf numFmtId="0" fontId="20" fillId="3" borderId="1" xfId="3" applyNumberFormat="1" applyFont="1" applyFill="1" applyBorder="1" applyAlignment="1">
      <alignment horizontal="center"/>
    </xf>
    <xf numFmtId="0" fontId="23" fillId="3" borderId="0" xfId="4" applyNumberFormat="1" applyFill="1" applyBorder="1" applyAlignment="1"/>
    <xf numFmtId="3" fontId="22" fillId="3" borderId="1" xfId="3" applyNumberFormat="1" applyFont="1" applyFill="1" applyBorder="1" applyAlignment="1">
      <alignment horizontal="right"/>
    </xf>
    <xf numFmtId="3" fontId="20" fillId="3" borderId="1" xfId="3" applyNumberFormat="1" applyFont="1" applyFill="1" applyBorder="1" applyAlignment="1">
      <alignment horizontal="right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8"/>
    </xf>
    <xf numFmtId="0" fontId="0" fillId="11" borderId="0" xfId="0" applyFill="1"/>
    <xf numFmtId="0" fontId="18" fillId="11" borderId="0" xfId="0" applyFont="1" applyFill="1" applyAlignment="1">
      <alignment horizontal="left"/>
    </xf>
    <xf numFmtId="0" fontId="18" fillId="11" borderId="0" xfId="0" applyFont="1" applyFill="1"/>
    <xf numFmtId="0" fontId="18" fillId="12" borderId="0" xfId="0" applyFont="1" applyFill="1"/>
    <xf numFmtId="4" fontId="0" fillId="7" borderId="1" xfId="0" applyNumberFormat="1" applyFont="1" applyFill="1" applyBorder="1" applyAlignment="1">
      <alignment horizontal="center"/>
    </xf>
    <xf numFmtId="0" fontId="0" fillId="10" borderId="2" xfId="0" applyFill="1" applyBorder="1"/>
    <xf numFmtId="4" fontId="0" fillId="10" borderId="2" xfId="0" applyNumberFormat="1" applyFill="1" applyBorder="1"/>
    <xf numFmtId="164" fontId="0" fillId="10" borderId="2" xfId="2" applyNumberFormat="1" applyFont="1" applyFill="1" applyBorder="1"/>
    <xf numFmtId="9" fontId="0" fillId="10" borderId="2" xfId="2" applyNumberFormat="1" applyFont="1" applyFill="1" applyBorder="1"/>
    <xf numFmtId="0" fontId="0" fillId="10" borderId="2" xfId="0" applyFill="1" applyBorder="1" applyAlignment="1">
      <alignment horizontal="center"/>
    </xf>
    <xf numFmtId="2" fontId="0" fillId="10" borderId="2" xfId="0" applyNumberFormat="1" applyFill="1" applyBorder="1"/>
    <xf numFmtId="0" fontId="10" fillId="4" borderId="2" xfId="1" applyNumberFormat="1" applyFont="1" applyFill="1" applyBorder="1" applyAlignment="1">
      <alignment horizontal="left"/>
    </xf>
    <xf numFmtId="164" fontId="15" fillId="8" borderId="1" xfId="2" applyNumberFormat="1" applyFont="1" applyFill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center" vertical="center"/>
    </xf>
    <xf numFmtId="0" fontId="26" fillId="0" borderId="1" xfId="1" applyNumberFormat="1" applyFont="1" applyFill="1" applyBorder="1" applyAlignment="1">
      <alignment horizontal="center"/>
    </xf>
    <xf numFmtId="0" fontId="27" fillId="0" borderId="1" xfId="0" applyNumberFormat="1" applyFont="1" applyFill="1" applyBorder="1" applyAlignment="1"/>
    <xf numFmtId="0" fontId="27" fillId="0" borderId="1" xfId="0" applyFont="1" applyFill="1" applyBorder="1" applyAlignment="1">
      <alignment horizontal="center"/>
    </xf>
    <xf numFmtId="3" fontId="30" fillId="0" borderId="1" xfId="0" applyNumberFormat="1" applyFont="1" applyFill="1" applyBorder="1"/>
    <xf numFmtId="0" fontId="27" fillId="0" borderId="0" xfId="0" applyNumberFormat="1" applyFont="1" applyFill="1" applyBorder="1" applyAlignment="1"/>
    <xf numFmtId="0" fontId="27" fillId="0" borderId="0" xfId="0" applyFont="1" applyFill="1" applyBorder="1" applyAlignment="1">
      <alignment horizontal="center"/>
    </xf>
    <xf numFmtId="3" fontId="30" fillId="0" borderId="0" xfId="0" applyNumberFormat="1" applyFont="1" applyFill="1" applyBorder="1"/>
    <xf numFmtId="0" fontId="0" fillId="0" borderId="0" xfId="0" applyBorder="1"/>
    <xf numFmtId="165" fontId="25" fillId="7" borderId="1" xfId="0" applyNumberFormat="1" applyFont="1" applyFill="1" applyBorder="1" applyAlignment="1">
      <alignment vertical="center"/>
    </xf>
    <xf numFmtId="0" fontId="0" fillId="0" borderId="0" xfId="0" applyFill="1" applyBorder="1"/>
    <xf numFmtId="165" fontId="0" fillId="0" borderId="0" xfId="0" applyNumberFormat="1" applyFill="1" applyBorder="1"/>
    <xf numFmtId="4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15" fillId="8" borderId="3" xfId="0" applyNumberFormat="1" applyFont="1" applyFill="1" applyBorder="1" applyAlignment="1">
      <alignment horizontal="left" vertical="center"/>
    </xf>
    <xf numFmtId="0" fontId="15" fillId="8" borderId="4" xfId="0" applyNumberFormat="1" applyFont="1" applyFill="1" applyBorder="1" applyAlignment="1">
      <alignment horizontal="left" vertical="center"/>
    </xf>
    <xf numFmtId="0" fontId="15" fillId="8" borderId="5" xfId="0" applyNumberFormat="1" applyFont="1" applyFill="1" applyBorder="1" applyAlignment="1">
      <alignment horizontal="left" vertical="center"/>
    </xf>
    <xf numFmtId="0" fontId="12" fillId="6" borderId="1" xfId="0" applyFont="1" applyFill="1" applyBorder="1" applyAlignment="1" applyProtection="1">
      <alignment horizontal="left"/>
    </xf>
    <xf numFmtId="0" fontId="4" fillId="7" borderId="1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7" fillId="5" borderId="7" xfId="0" applyFont="1" applyFill="1" applyBorder="1" applyAlignment="1" applyProtection="1">
      <alignment horizontal="left"/>
    </xf>
    <xf numFmtId="0" fontId="7" fillId="5" borderId="8" xfId="0" applyFont="1" applyFill="1" applyBorder="1" applyAlignment="1" applyProtection="1">
      <alignment horizontal="left"/>
    </xf>
    <xf numFmtId="0" fontId="14" fillId="3" borderId="1" xfId="0" applyFont="1" applyFill="1" applyBorder="1" applyAlignment="1" applyProtection="1">
      <alignment horizontal="right"/>
    </xf>
    <xf numFmtId="0" fontId="14" fillId="3" borderId="6" xfId="0" applyFont="1" applyFill="1" applyBorder="1" applyAlignment="1" applyProtection="1">
      <alignment horizontal="right"/>
    </xf>
    <xf numFmtId="0" fontId="14" fillId="3" borderId="7" xfId="0" applyFont="1" applyFill="1" applyBorder="1" applyAlignment="1" applyProtection="1">
      <alignment horizontal="right"/>
    </xf>
    <xf numFmtId="0" fontId="14" fillId="3" borderId="8" xfId="0" applyFont="1" applyFill="1" applyBorder="1" applyAlignment="1" applyProtection="1">
      <alignment horizontal="right"/>
    </xf>
    <xf numFmtId="0" fontId="0" fillId="0" borderId="0" xfId="0" applyAlignment="1">
      <alignment horizontal="left" wrapText="1"/>
    </xf>
    <xf numFmtId="0" fontId="1" fillId="7" borderId="1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center"/>
    </xf>
    <xf numFmtId="0" fontId="12" fillId="6" borderId="2" xfId="0" applyFont="1" applyFill="1" applyBorder="1" applyAlignment="1" applyProtection="1">
      <alignment horizontal="left"/>
    </xf>
    <xf numFmtId="0" fontId="15" fillId="8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 applyProtection="1">
      <alignment horizontal="left"/>
    </xf>
    <xf numFmtId="0" fontId="7" fillId="5" borderId="11" xfId="0" applyFont="1" applyFill="1" applyBorder="1" applyAlignment="1" applyProtection="1">
      <alignment horizontal="left"/>
    </xf>
    <xf numFmtId="0" fontId="7" fillId="5" borderId="14" xfId="0" applyFont="1" applyFill="1" applyBorder="1" applyAlignment="1" applyProtection="1">
      <alignment horizontal="left"/>
    </xf>
    <xf numFmtId="0" fontId="7" fillId="5" borderId="15" xfId="0" applyFont="1" applyFill="1" applyBorder="1" applyAlignment="1" applyProtection="1">
      <alignment horizontal="left"/>
    </xf>
    <xf numFmtId="0" fontId="22" fillId="0" borderId="1" xfId="3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1" xfId="3" applyNumberFormat="1" applyFont="1" applyFill="1" applyBorder="1" applyAlignment="1">
      <alignment horizontal="left"/>
    </xf>
    <xf numFmtId="164" fontId="30" fillId="0" borderId="0" xfId="2" applyNumberFormat="1" applyFont="1" applyAlignment="1">
      <alignment horizontal="right" indent="2"/>
    </xf>
  </cellXfs>
  <cellStyles count="6">
    <cellStyle name="Accent1" xfId="1" builtinId="29"/>
    <cellStyle name="Hyperlink 2" xfId="4" xr:uid="{00000000-0005-0000-0000-000031000000}"/>
    <cellStyle name="Normal" xfId="0" builtinId="0"/>
    <cellStyle name="Normal 2" xfId="3" xr:uid="{6D89ED4E-9F46-4773-8E23-075A24CF7F3F}"/>
    <cellStyle name="Note 2" xfId="5" xr:uid="{00000000-0005-0000-0000-000032000000}"/>
    <cellStyle name="Percent" xfId="2" builtinId="5"/>
  </cellStyles>
  <dxfs count="0"/>
  <tableStyles count="0" defaultTableStyle="TableStyleMedium2" defaultPivotStyle="PivotStyleLight16"/>
  <colors>
    <mruColors>
      <color rgb="FF6363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COCEF'!$B$3</c:f>
              <c:strCache>
                <c:ptCount val="1"/>
                <c:pt idx="0">
                  <c:v>En base al Consumo Eléctrico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COCEF'!$C$3:$F$3</c:f>
              <c:numCache>
                <c:formatCode>General</c:formatCode>
                <c:ptCount val="4"/>
                <c:pt idx="0">
                  <c:v>4.0199999999999996</c:v>
                </c:pt>
                <c:pt idx="1">
                  <c:v>5.34</c:v>
                </c:pt>
                <c:pt idx="2">
                  <c:v>5.83</c:v>
                </c:pt>
                <c:pt idx="3">
                  <c:v>5.91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8D-46FF-9323-3E5DCA6348D6}"/>
            </c:ext>
          </c:extLst>
        </c:ser>
        <c:ser>
          <c:idx val="1"/>
          <c:order val="1"/>
          <c:tx>
            <c:strRef>
              <c:f>'Inventario COCEF'!$L$3:$Q$3</c:f>
              <c:strCache>
                <c:ptCount val="6"/>
                <c:pt idx="0">
                  <c:v>1A1 Industrias de la energía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COCEF'!$R$3:$V$3</c:f>
              <c:numCache>
                <c:formatCode>#,##0.00</c:formatCode>
                <c:ptCount val="5"/>
                <c:pt idx="0">
                  <c:v>7.4559975583291447</c:v>
                </c:pt>
                <c:pt idx="1">
                  <c:v>7.5711309101920632</c:v>
                </c:pt>
                <c:pt idx="2">
                  <c:v>6.8025087638073956</c:v>
                </c:pt>
                <c:pt idx="3">
                  <c:v>6.1384415293878494</c:v>
                </c:pt>
                <c:pt idx="4">
                  <c:v>6.1289641910759025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8D-46FF-9323-3E5DCA6348D6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COCEF'!$F$3:$J$3</c:f>
              <c:numCache>
                <c:formatCode>General</c:formatCode>
                <c:ptCount val="5"/>
                <c:pt idx="0">
                  <c:v>5.91</c:v>
                </c:pt>
                <c:pt idx="1">
                  <c:v>6.86</c:v>
                </c:pt>
                <c:pt idx="2">
                  <c:v>6.98</c:v>
                </c:pt>
                <c:pt idx="3">
                  <c:v>8.52</c:v>
                </c:pt>
                <c:pt idx="4">
                  <c:v>10.79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8D-46FF-9323-3E5DCA634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'Ganado B'!$B$34</c:f>
              <c:strCache>
                <c:ptCount val="1"/>
                <c:pt idx="0">
                  <c:v>Carne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'Ganado B'!$A$35:$A$39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'Ganado B'!$B$35:$B$39</c:f>
              <c:numCache>
                <c:formatCode>#,##0.00</c:formatCode>
                <c:ptCount val="5"/>
                <c:pt idx="0">
                  <c:v>1676947</c:v>
                </c:pt>
                <c:pt idx="1">
                  <c:v>1708423</c:v>
                </c:pt>
                <c:pt idx="2">
                  <c:v>1804348</c:v>
                </c:pt>
                <c:pt idx="3">
                  <c:v>2054634</c:v>
                </c:pt>
                <c:pt idx="4">
                  <c:v>2103645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A1-4DD9-BC61-F468B4B5073D}"/>
            </c:ext>
          </c:extLst>
        </c:ser>
        <c:ser>
          <c:idx val="1"/>
          <c:order val="1"/>
          <c:tx>
            <c:strRef>
              <c:f>'Ganado B'!$C$34</c:f>
              <c:strCache>
                <c:ptCount val="1"/>
                <c:pt idx="0">
                  <c:v> Leche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'Ganado B'!$A$35:$A$39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'Ganado B'!$C$35:$C$39</c:f>
              <c:numCache>
                <c:formatCode>#,##0.00</c:formatCode>
                <c:ptCount val="5"/>
                <c:pt idx="0">
                  <c:v>258069</c:v>
                </c:pt>
                <c:pt idx="1">
                  <c:v>269940</c:v>
                </c:pt>
                <c:pt idx="2">
                  <c:v>276202</c:v>
                </c:pt>
                <c:pt idx="3">
                  <c:v>275285</c:v>
                </c:pt>
                <c:pt idx="4">
                  <c:v>284766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A1-4DD9-BC61-F468B4B50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810352"/>
        <c:axId val="518816584"/>
      </c:scatterChart>
      <c:valAx>
        <c:axId val="51881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8816584"/>
        <c:crosses val="autoZero"/>
        <c:crossBetween val="midCat"/>
        <c:majorUnit val="1"/>
      </c:valAx>
      <c:valAx>
        <c:axId val="51881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881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COCEF'!$B$9</c:f>
              <c:strCache>
                <c:ptCount val="1"/>
                <c:pt idx="0">
                  <c:v>Res/Com/Ind (RCI)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COCEF'!$C$9:$F$9</c:f>
              <c:numCache>
                <c:formatCode>General</c:formatCode>
                <c:ptCount val="4"/>
                <c:pt idx="0">
                  <c:v>2.52</c:v>
                </c:pt>
                <c:pt idx="1">
                  <c:v>2.5299999999999998</c:v>
                </c:pt>
                <c:pt idx="2">
                  <c:v>2.86</c:v>
                </c:pt>
                <c:pt idx="3">
                  <c:v>2.37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55-4630-BB82-60BC4BD09993}"/>
            </c:ext>
          </c:extLst>
        </c:ser>
        <c:ser>
          <c:idx val="1"/>
          <c:order val="1"/>
          <c:tx>
            <c:strRef>
              <c:f>'Inventario COCEF'!$L$9:$Q$9</c:f>
              <c:strCache>
                <c:ptCount val="6"/>
                <c:pt idx="0">
                  <c:v>1A4a y 1A4b Res/Com/inst + 1A2 Ind manuf y constr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COCEF'!$R$9:$V$9</c:f>
              <c:numCache>
                <c:formatCode>#,##0.00</c:formatCode>
                <c:ptCount val="5"/>
                <c:pt idx="0">
                  <c:v>3.3977144776837824</c:v>
                </c:pt>
                <c:pt idx="1">
                  <c:v>3.2083738045371284</c:v>
                </c:pt>
                <c:pt idx="2">
                  <c:v>2.9539021315845049</c:v>
                </c:pt>
                <c:pt idx="3">
                  <c:v>3.4996615177017105</c:v>
                </c:pt>
                <c:pt idx="4">
                  <c:v>3.6231231754032072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55-4630-BB82-60BC4BD09993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COCEF'!$F$9:$J$9</c:f>
              <c:numCache>
                <c:formatCode>General</c:formatCode>
                <c:ptCount val="5"/>
                <c:pt idx="0">
                  <c:v>2.37</c:v>
                </c:pt>
                <c:pt idx="1">
                  <c:v>2.58</c:v>
                </c:pt>
                <c:pt idx="2">
                  <c:v>2.76</c:v>
                </c:pt>
                <c:pt idx="3">
                  <c:v>2.96</c:v>
                </c:pt>
                <c:pt idx="4">
                  <c:v>3.25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55-4630-BB82-60BC4BD09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COCEF'!$B$16</c:f>
              <c:strCache>
                <c:ptCount val="1"/>
                <c:pt idx="0">
                  <c:v>Transporte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COCEF'!$C$16:$F$16</c:f>
              <c:numCache>
                <c:formatCode>General</c:formatCode>
                <c:ptCount val="4"/>
                <c:pt idx="0">
                  <c:v>3.37</c:v>
                </c:pt>
                <c:pt idx="1">
                  <c:v>4.3600000000000003</c:v>
                </c:pt>
                <c:pt idx="2">
                  <c:v>4.49</c:v>
                </c:pt>
                <c:pt idx="3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76-4BD6-B6BF-E3792E735198}"/>
            </c:ext>
          </c:extLst>
        </c:ser>
        <c:ser>
          <c:idx val="1"/>
          <c:order val="1"/>
          <c:tx>
            <c:strRef>
              <c:f>'Inventario COCEF'!$L$16:$Q$16</c:f>
              <c:strCache>
                <c:ptCount val="6"/>
                <c:pt idx="0">
                  <c:v>1A3 Transporte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COCEF'!$R$16:$V$16</c:f>
              <c:numCache>
                <c:formatCode>#,##0.00</c:formatCode>
                <c:ptCount val="5"/>
                <c:pt idx="0">
                  <c:v>6.6309269685354639</c:v>
                </c:pt>
                <c:pt idx="1">
                  <c:v>6.5856963863130256</c:v>
                </c:pt>
                <c:pt idx="2">
                  <c:v>7.0733582424346908</c:v>
                </c:pt>
                <c:pt idx="3">
                  <c:v>7.242235401007604</c:v>
                </c:pt>
                <c:pt idx="4">
                  <c:v>7.1143124491731067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76-4BD6-B6BF-E3792E735198}"/>
            </c:ext>
          </c:extLst>
        </c:ser>
        <c:ser>
          <c:idx val="2"/>
          <c:order val="2"/>
          <c:tx>
            <c:v>Proyección COCEF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COCEF'!$F$16:$J$16</c:f>
              <c:numCache>
                <c:formatCode>General</c:formatCode>
                <c:ptCount val="5"/>
                <c:pt idx="0">
                  <c:v>5.6</c:v>
                </c:pt>
                <c:pt idx="1">
                  <c:v>7.02</c:v>
                </c:pt>
                <c:pt idx="2">
                  <c:v>8.1199999999999992</c:v>
                </c:pt>
                <c:pt idx="3">
                  <c:v>8.98</c:v>
                </c:pt>
                <c:pt idx="4">
                  <c:v>9.85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76-4BD6-B6BF-E3792E73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COCEF'!$B$23</c:f>
              <c:strCache>
                <c:ptCount val="1"/>
                <c:pt idx="0">
                  <c:v>Industria de Combustibles Fósiles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COCEF'!$C$23:$F$23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B6-4B25-A488-5327C7790D91}"/>
            </c:ext>
          </c:extLst>
        </c:ser>
        <c:ser>
          <c:idx val="1"/>
          <c:order val="1"/>
          <c:tx>
            <c:strRef>
              <c:f>'Inventario COCEF'!$L$23:$Q$23</c:f>
              <c:strCache>
                <c:ptCount val="6"/>
                <c:pt idx="0">
                  <c:v>1B2b Gas natural (Transporte y Distribución)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COCEF'!$R$2:$T$2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xVal>
          <c:yVal>
            <c:numRef>
              <c:f>'Inventario COCEF'!$R$23:$T$23</c:f>
              <c:numCache>
                <c:formatCode>#,##0.00</c:formatCode>
                <c:ptCount val="3"/>
                <c:pt idx="0">
                  <c:v>0.24247659350658463</c:v>
                </c:pt>
                <c:pt idx="1">
                  <c:v>0.36588374733856438</c:v>
                </c:pt>
                <c:pt idx="2">
                  <c:v>0.6843785163339986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B6-4B25-A488-5327C7790D91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COCEF'!$F$23:$J$23</c:f>
              <c:numCache>
                <c:formatCode>General</c:formatCode>
                <c:ptCount val="5"/>
                <c:pt idx="0">
                  <c:v>0.11</c:v>
                </c:pt>
                <c:pt idx="1">
                  <c:v>0.2</c:v>
                </c:pt>
                <c:pt idx="2">
                  <c:v>0.21</c:v>
                </c:pt>
                <c:pt idx="3">
                  <c:v>0.21</c:v>
                </c:pt>
                <c:pt idx="4">
                  <c:v>0.22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B6-4B25-A488-5327C7790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COCEF'!$B$26</c:f>
              <c:strCache>
                <c:ptCount val="1"/>
                <c:pt idx="0">
                  <c:v>Procesos Industriales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COCEF'!$C$26:$F$26</c:f>
              <c:numCache>
                <c:formatCode>General</c:formatCode>
                <c:ptCount val="4"/>
                <c:pt idx="0">
                  <c:v>0.98</c:v>
                </c:pt>
                <c:pt idx="1">
                  <c:v>1.17</c:v>
                </c:pt>
                <c:pt idx="2">
                  <c:v>1.59</c:v>
                </c:pt>
                <c:pt idx="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1A-4836-9690-9532DD4B129F}"/>
            </c:ext>
          </c:extLst>
        </c:ser>
        <c:ser>
          <c:idx val="1"/>
          <c:order val="1"/>
          <c:tx>
            <c:strRef>
              <c:f>'Inventario COCEF'!$L$26:$Q$26</c:f>
              <c:strCache>
                <c:ptCount val="6"/>
                <c:pt idx="0">
                  <c:v>2 Procesos industriales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COCEF'!$R$26:$V$26</c:f>
              <c:numCache>
                <c:formatCode>#,##0.00</c:formatCode>
                <c:ptCount val="5"/>
                <c:pt idx="0">
                  <c:v>0.80832280504978249</c:v>
                </c:pt>
                <c:pt idx="1">
                  <c:v>0.83225477426014272</c:v>
                </c:pt>
                <c:pt idx="2">
                  <c:v>0.8453474088702736</c:v>
                </c:pt>
                <c:pt idx="3">
                  <c:v>0.88690262961005606</c:v>
                </c:pt>
                <c:pt idx="4">
                  <c:v>0.86953874770951034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1A-4836-9690-9532DD4B129F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COCEF'!$F$26:$J$26</c:f>
              <c:numCache>
                <c:formatCode>General</c:formatCode>
                <c:ptCount val="5"/>
                <c:pt idx="0">
                  <c:v>2.1</c:v>
                </c:pt>
                <c:pt idx="1">
                  <c:v>2.25</c:v>
                </c:pt>
                <c:pt idx="2">
                  <c:v>2.64</c:v>
                </c:pt>
                <c:pt idx="3">
                  <c:v>3.04</c:v>
                </c:pt>
                <c:pt idx="4">
                  <c:v>3.44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1A-4836-9690-9532DD4B1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COCEF'!$B$31</c:f>
              <c:strCache>
                <c:ptCount val="1"/>
                <c:pt idx="0">
                  <c:v>Manejo de Residuos (Bruto)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COCEF'!$C$31:$F$31</c:f>
              <c:numCache>
                <c:formatCode>General</c:formatCode>
                <c:ptCount val="4"/>
                <c:pt idx="0">
                  <c:v>0.73</c:v>
                </c:pt>
                <c:pt idx="1">
                  <c:v>0.82</c:v>
                </c:pt>
                <c:pt idx="2">
                  <c:v>0.91</c:v>
                </c:pt>
                <c:pt idx="3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D6-4074-A1A1-299DB9CF5CD4}"/>
            </c:ext>
          </c:extLst>
        </c:ser>
        <c:ser>
          <c:idx val="1"/>
          <c:order val="1"/>
          <c:tx>
            <c:strRef>
              <c:f>'Inventario COCEF'!$L$31:$Q$31</c:f>
              <c:strCache>
                <c:ptCount val="6"/>
                <c:pt idx="0">
                  <c:v>4 Residuos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COCEF'!$R$31:$V$31</c:f>
              <c:numCache>
                <c:formatCode>#,##0.00</c:formatCode>
                <c:ptCount val="5"/>
                <c:pt idx="0">
                  <c:v>1.2903577311375407</c:v>
                </c:pt>
                <c:pt idx="1">
                  <c:v>1.3231879014725223</c:v>
                </c:pt>
                <c:pt idx="2">
                  <c:v>1.3525798070997981</c:v>
                </c:pt>
                <c:pt idx="3">
                  <c:v>1.3749305046177966</c:v>
                </c:pt>
                <c:pt idx="4">
                  <c:v>1.4018509740522795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D6-4074-A1A1-299DB9CF5CD4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COCEF'!$F$31:$J$31</c:f>
              <c:numCache>
                <c:formatCode>General</c:formatCode>
                <c:ptCount val="5"/>
                <c:pt idx="0">
                  <c:v>1.02</c:v>
                </c:pt>
                <c:pt idx="1">
                  <c:v>0.89</c:v>
                </c:pt>
                <c:pt idx="2">
                  <c:v>0.88</c:v>
                </c:pt>
                <c:pt idx="3">
                  <c:v>0.93</c:v>
                </c:pt>
                <c:pt idx="4">
                  <c:v>1.03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D6-4074-A1A1-299DB9CF5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'Inventario COCEF'!$B$37</c:f>
              <c:strCache>
                <c:ptCount val="1"/>
                <c:pt idx="0">
                  <c:v>Agricultura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COCEF'!$C$37:$F$37</c:f>
              <c:numCache>
                <c:formatCode>General</c:formatCode>
                <c:ptCount val="4"/>
                <c:pt idx="0">
                  <c:v>3.64</c:v>
                </c:pt>
                <c:pt idx="1">
                  <c:v>3.46</c:v>
                </c:pt>
                <c:pt idx="2">
                  <c:v>2.38</c:v>
                </c:pt>
                <c:pt idx="3">
                  <c:v>2.5499999999999998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CE-4BEC-B7E4-BD256B7B9044}"/>
            </c:ext>
          </c:extLst>
        </c:ser>
        <c:ser>
          <c:idx val="1"/>
          <c:order val="1"/>
          <c:tx>
            <c:strRef>
              <c:f>'Inventario COCEF'!$L$37:$Q$37</c:f>
              <c:strCache>
                <c:ptCount val="6"/>
                <c:pt idx="0">
                  <c:v>3A Ganado + 3B2 Tierra de cultivo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COCEF'!$R$37:$V$37</c:f>
              <c:numCache>
                <c:formatCode>#,##0.00</c:formatCode>
                <c:ptCount val="5"/>
                <c:pt idx="0">
                  <c:v>8.483909455530398</c:v>
                </c:pt>
                <c:pt idx="1">
                  <c:v>8.5504806922108241</c:v>
                </c:pt>
                <c:pt idx="2">
                  <c:v>8.874787964707723</c:v>
                </c:pt>
                <c:pt idx="3">
                  <c:v>9.8772718909928265</c:v>
                </c:pt>
                <c:pt idx="4">
                  <c:v>10.185412047867223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E-4BEC-B7E4-BD256B7B9044}"/>
            </c:ext>
          </c:extLst>
        </c:ser>
        <c:ser>
          <c:idx val="2"/>
          <c:order val="2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COCEF'!$F$37:$J$37</c:f>
              <c:numCache>
                <c:formatCode>General</c:formatCode>
                <c:ptCount val="5"/>
                <c:pt idx="0">
                  <c:v>2.5499999999999998</c:v>
                </c:pt>
                <c:pt idx="1">
                  <c:v>2.76</c:v>
                </c:pt>
                <c:pt idx="2">
                  <c:v>3</c:v>
                </c:pt>
                <c:pt idx="3">
                  <c:v>3.27</c:v>
                </c:pt>
                <c:pt idx="4">
                  <c:v>3.54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CE-4BEC-B7E4-BD256B7B9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3670166229222"/>
          <c:y val="6.0606060606060608E-2"/>
          <c:w val="0.81097440944881893"/>
          <c:h val="0.60835600095442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'Inventario COCEF'!$B$41</c:f>
              <c:strCache>
                <c:ptCount val="1"/>
                <c:pt idx="0">
                  <c:v>Silvicultura y Uso de Suelo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'Inventario COCEF'!$C$2:$F$2</c:f>
              <c:numCache>
                <c:formatCode>General</c:formatCode>
                <c:ptCount val="4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</c:numCache>
            </c:numRef>
          </c:xVal>
          <c:yVal>
            <c:numRef>
              <c:f>'Inventario COCEF'!$C$41:$F$41</c:f>
              <c:numCache>
                <c:formatCode>General</c:formatCode>
                <c:ptCount val="4"/>
                <c:pt idx="0">
                  <c:v>-7.09</c:v>
                </c:pt>
                <c:pt idx="1">
                  <c:v>-7.65</c:v>
                </c:pt>
                <c:pt idx="2">
                  <c:v>-6.52</c:v>
                </c:pt>
                <c:pt idx="3">
                  <c:v>-7.85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2B-4242-8DF4-4DD54C6B3F93}"/>
            </c:ext>
          </c:extLst>
        </c:ser>
        <c:ser>
          <c:idx val="2"/>
          <c:order val="1"/>
          <c:tx>
            <c:v>Proyección COCEF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'Inventario COCEF'!$F$2:$J$2</c:f>
              <c:numCache>
                <c:formatCode>General</c:formatCode>
                <c:ptCount val="5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  <c:pt idx="4">
                  <c:v>2025</c:v>
                </c:pt>
              </c:numCache>
            </c:numRef>
          </c:xVal>
          <c:yVal>
            <c:numRef>
              <c:f>'Inventario COCEF'!$F$41:$J$41</c:f>
              <c:numCache>
                <c:formatCode>General</c:formatCode>
                <c:ptCount val="5"/>
                <c:pt idx="0">
                  <c:v>-7.85</c:v>
                </c:pt>
                <c:pt idx="1">
                  <c:v>-8.36</c:v>
                </c:pt>
                <c:pt idx="2">
                  <c:v>-8.36</c:v>
                </c:pt>
                <c:pt idx="3">
                  <c:v>-8.36</c:v>
                </c:pt>
                <c:pt idx="4">
                  <c:v>-8.36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2B-4242-8DF4-4DD54C6B3F93}"/>
            </c:ext>
          </c:extLst>
        </c:ser>
        <c:ser>
          <c:idx val="1"/>
          <c:order val="2"/>
          <c:tx>
            <c:strRef>
              <c:f>'Inventario COCEF'!$L$41:$Q$41</c:f>
              <c:strCache>
                <c:ptCount val="6"/>
                <c:pt idx="0">
                  <c:v>3B Tierra - 3B2 Tierra de cultivo +  3C Fuentes agregadas y fuentes de emisión no CO2 de la tierra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'Inventario COCEF'!$R$2:$V$2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'Inventario COCEF'!$R$41:$V$41</c:f>
              <c:numCache>
                <c:formatCode>#,##0.00</c:formatCode>
                <c:ptCount val="5"/>
                <c:pt idx="0">
                  <c:v>-11.333902218189225</c:v>
                </c:pt>
                <c:pt idx="1">
                  <c:v>-11.285016124522803</c:v>
                </c:pt>
                <c:pt idx="2">
                  <c:v>-11.448823253795149</c:v>
                </c:pt>
                <c:pt idx="3">
                  <c:v>-11.109115632252426</c:v>
                </c:pt>
                <c:pt idx="4">
                  <c:v>-11.056224493597341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2B-4242-8DF4-4DD54C6B3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728176"/>
        <c:axId val="529729488"/>
      </c:scatterChart>
      <c:valAx>
        <c:axId val="5297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9488"/>
        <c:crosses val="autoZero"/>
        <c:crossBetween val="midCat"/>
      </c:valAx>
      <c:valAx>
        <c:axId val="52972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(Mt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72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'Por Sector B'!$A$16</c:f>
              <c:strCache>
                <c:ptCount val="1"/>
                <c:pt idx="0">
                  <c:v>1 Energía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B'!$G$16:$K$16</c:f>
              <c:numCache>
                <c:formatCode>#,##0</c:formatCode>
                <c:ptCount val="5"/>
                <c:pt idx="0">
                  <c:v>17727.115598054977</c:v>
                </c:pt>
                <c:pt idx="1">
                  <c:v>17731.084848380782</c:v>
                </c:pt>
                <c:pt idx="2">
                  <c:v>17514.147654160588</c:v>
                </c:pt>
                <c:pt idx="3">
                  <c:v>16880.338448097162</c:v>
                </c:pt>
                <c:pt idx="4">
                  <c:v>16866.399815652218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6B2-4338-AFD9-378854BE658D}"/>
            </c:ext>
          </c:extLst>
        </c:ser>
        <c:ser>
          <c:idx val="1"/>
          <c:order val="1"/>
          <c:tx>
            <c:strRef>
              <c:f>'Por Sector B'!$A$19:$F$19</c:f>
              <c:strCache>
                <c:ptCount val="6"/>
                <c:pt idx="0">
                  <c:v>2 Procesos industriales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B'!$G$19:$K$19</c:f>
              <c:numCache>
                <c:formatCode>#,##0</c:formatCode>
                <c:ptCount val="5"/>
                <c:pt idx="0">
                  <c:v>808.32280504978246</c:v>
                </c:pt>
                <c:pt idx="1">
                  <c:v>832.25477426014277</c:v>
                </c:pt>
                <c:pt idx="2">
                  <c:v>845.34740887027363</c:v>
                </c:pt>
                <c:pt idx="3">
                  <c:v>886.90262961005601</c:v>
                </c:pt>
                <c:pt idx="4">
                  <c:v>869.53874770951029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6B2-4338-AFD9-378854BE658D}"/>
            </c:ext>
          </c:extLst>
        </c:ser>
        <c:ser>
          <c:idx val="2"/>
          <c:order val="2"/>
          <c:tx>
            <c:strRef>
              <c:f>'Por Sector B'!$A$23:$F$23</c:f>
              <c:strCache>
                <c:ptCount val="6"/>
                <c:pt idx="0">
                  <c:v>3 Agricultura, silvicultura y otros usos de la tierra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B'!$G$23:$K$23</c:f>
              <c:numCache>
                <c:formatCode>#,##0</c:formatCode>
                <c:ptCount val="5"/>
                <c:pt idx="0">
                  <c:v>-2849.9927626588274</c:v>
                </c:pt>
                <c:pt idx="1">
                  <c:v>-2734.5354323119786</c:v>
                </c:pt>
                <c:pt idx="2">
                  <c:v>-2574.0352890874278</c:v>
                </c:pt>
                <c:pt idx="3">
                  <c:v>-1231.8437412595999</c:v>
                </c:pt>
                <c:pt idx="4">
                  <c:v>-870.81244573011827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6B2-4338-AFD9-378854BE658D}"/>
            </c:ext>
          </c:extLst>
        </c:ser>
        <c:ser>
          <c:idx val="3"/>
          <c:order val="3"/>
          <c:tx>
            <c:strRef>
              <c:f>'Por Sector B'!$A$24:$F$24</c:f>
              <c:strCache>
                <c:ptCount val="6"/>
                <c:pt idx="0">
                  <c:v>  3A Ganado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B'!$G$24:$K$24</c:f>
              <c:numCache>
                <c:formatCode>#,##0</c:formatCode>
                <c:ptCount val="5"/>
                <c:pt idx="0">
                  <c:v>7516.7164350902303</c:v>
                </c:pt>
                <c:pt idx="1">
                  <c:v>7583.2876717706567</c:v>
                </c:pt>
                <c:pt idx="2">
                  <c:v>7907.5949442675555</c:v>
                </c:pt>
                <c:pt idx="3">
                  <c:v>8910.0788705526593</c:v>
                </c:pt>
                <c:pt idx="4">
                  <c:v>9218.2190274270561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6B2-4338-AFD9-378854BE658D}"/>
            </c:ext>
          </c:extLst>
        </c:ser>
        <c:ser>
          <c:idx val="4"/>
          <c:order val="4"/>
          <c:tx>
            <c:strRef>
              <c:f>'Por Sector B'!$A$25:$F$25</c:f>
              <c:strCache>
                <c:ptCount val="6"/>
                <c:pt idx="0">
                  <c:v>  3B Tierra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B'!$G$25:$K$25</c:f>
              <c:numCache>
                <c:formatCode>#,##0</c:formatCode>
                <c:ptCount val="5"/>
                <c:pt idx="0">
                  <c:v>-12741.687242413045</c:v>
                </c:pt>
                <c:pt idx="1">
                  <c:v>-12741.687242413045</c:v>
                </c:pt>
                <c:pt idx="2">
                  <c:v>-12741.687242413045</c:v>
                </c:pt>
                <c:pt idx="3">
                  <c:v>-12741.687242413045</c:v>
                </c:pt>
                <c:pt idx="4">
                  <c:v>-12741.687242413045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6B2-4338-AFD9-378854BE658D}"/>
            </c:ext>
          </c:extLst>
        </c:ser>
        <c:ser>
          <c:idx val="5"/>
          <c:order val="5"/>
          <c:tx>
            <c:strRef>
              <c:f>'Por Sector B'!$A$27:$F$27</c:f>
              <c:strCache>
                <c:ptCount val="6"/>
                <c:pt idx="0">
                  <c:v>4 Residuos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'Por Sector B'!$G$13:$K$13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'Por Sector B'!$G$27:$K$27</c:f>
              <c:numCache>
                <c:formatCode>#,##0</c:formatCode>
                <c:ptCount val="5"/>
                <c:pt idx="0">
                  <c:v>1290.3577311375407</c:v>
                </c:pt>
                <c:pt idx="1">
                  <c:v>1323.1879014725223</c:v>
                </c:pt>
                <c:pt idx="2">
                  <c:v>1352.579807099798</c:v>
                </c:pt>
                <c:pt idx="3">
                  <c:v>1374.9305046177967</c:v>
                </c:pt>
                <c:pt idx="4">
                  <c:v>1401.8509740522795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6B2-4338-AFD9-378854BE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095704"/>
        <c:axId val="376066528"/>
      </c:scatterChart>
      <c:valAx>
        <c:axId val="504095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6066528"/>
        <c:crossesAt val="-20000"/>
        <c:crossBetween val="midCat"/>
      </c:valAx>
      <c:valAx>
        <c:axId val="376066528"/>
        <c:scaling>
          <c:orientation val="minMax"/>
          <c:min val="-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y compuestos de efecto invernadero (GgCO</a:t>
                </a:r>
                <a:r>
                  <a:rPr lang="en-US" baseline="-25000"/>
                  <a:t>2</a:t>
                </a:r>
                <a:r>
                  <a:rPr lang="en-US" baseline="0"/>
                  <a:t>e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04095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704850</xdr:colOff>
      <xdr:row>8</xdr:row>
      <xdr:rowOff>19050</xdr:rowOff>
    </xdr:to>
    <xdr:pic>
      <xdr:nvPicPr>
        <xdr:cNvPr id="2" name="Imagen 1" descr="cardon BI copia">
          <a:extLst>
            <a:ext uri="{FF2B5EF4-FFF2-40B4-BE49-F238E27FC236}">
              <a16:creationId xmlns:a16="http://schemas.microsoft.com/office/drawing/2014/main" id="{76861D2E-1559-4670-A806-6C2631AC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69"/>
        <a:stretch>
          <a:fillRect/>
        </a:stretch>
      </xdr:blipFill>
      <xdr:spPr bwMode="auto">
        <a:xfrm>
          <a:off x="0" y="190500"/>
          <a:ext cx="704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546759</xdr:colOff>
      <xdr:row>0</xdr:row>
      <xdr:rowOff>148590</xdr:rowOff>
    </xdr:from>
    <xdr:to>
      <xdr:col>30</xdr:col>
      <xdr:colOff>241959</xdr:colOff>
      <xdr:row>13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DD2602-6E2F-41E3-94FC-BBB941FAF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315686</xdr:colOff>
      <xdr:row>0</xdr:row>
      <xdr:rowOff>148590</xdr:rowOff>
    </xdr:from>
    <xdr:to>
      <xdr:col>38</xdr:col>
      <xdr:colOff>10886</xdr:colOff>
      <xdr:row>13</xdr:row>
      <xdr:rowOff>62408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78ABB1-0027-4479-A856-0515039EE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546759</xdr:colOff>
      <xdr:row>13</xdr:row>
      <xdr:rowOff>113928</xdr:rowOff>
    </xdr:from>
    <xdr:to>
      <xdr:col>30</xdr:col>
      <xdr:colOff>241959</xdr:colOff>
      <xdr:row>26</xdr:row>
      <xdr:rowOff>69310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79B496-3FB7-44F2-983A-F0640F7BE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315686</xdr:colOff>
      <xdr:row>13</xdr:row>
      <xdr:rowOff>114894</xdr:rowOff>
    </xdr:from>
    <xdr:to>
      <xdr:col>38</xdr:col>
      <xdr:colOff>10886</xdr:colOff>
      <xdr:row>26</xdr:row>
      <xdr:rowOff>70276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D55810-8659-433B-B83C-9CB547E47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546759</xdr:colOff>
      <xdr:row>26</xdr:row>
      <xdr:rowOff>122278</xdr:rowOff>
    </xdr:from>
    <xdr:to>
      <xdr:col>30</xdr:col>
      <xdr:colOff>241959</xdr:colOff>
      <xdr:row>39</xdr:row>
      <xdr:rowOff>77660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828D31-6F4E-46E8-B49A-060793AF3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315686</xdr:colOff>
      <xdr:row>26</xdr:row>
      <xdr:rowOff>122762</xdr:rowOff>
    </xdr:from>
    <xdr:to>
      <xdr:col>38</xdr:col>
      <xdr:colOff>10886</xdr:colOff>
      <xdr:row>39</xdr:row>
      <xdr:rowOff>78144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BB1354B-4144-4BF9-A3CA-3840F7CB6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546759</xdr:colOff>
      <xdr:row>39</xdr:row>
      <xdr:rowOff>130629</xdr:rowOff>
    </xdr:from>
    <xdr:to>
      <xdr:col>30</xdr:col>
      <xdr:colOff>241959</xdr:colOff>
      <xdr:row>52</xdr:row>
      <xdr:rowOff>65229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4A0E2D9-B6A8-49A1-85EE-5019BCBA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315686</xdr:colOff>
      <xdr:row>39</xdr:row>
      <xdr:rowOff>130629</xdr:rowOff>
    </xdr:from>
    <xdr:to>
      <xdr:col>38</xdr:col>
      <xdr:colOff>10886</xdr:colOff>
      <xdr:row>52</xdr:row>
      <xdr:rowOff>65229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CED0DB3-BEB9-4166-A6C8-E3E575F30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609598</xdr:colOff>
      <xdr:row>15</xdr:row>
      <xdr:rowOff>10885</xdr:rowOff>
    </xdr:from>
    <xdr:to>
      <xdr:col>21</xdr:col>
      <xdr:colOff>449579</xdr:colOff>
      <xdr:row>29</xdr:row>
      <xdr:rowOff>119743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9CF5D8-BF3D-4BFB-A97B-B94C6A821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0.16303</cdr:x>
      <cdr:y>0.42305</cdr:y>
    </cdr:from>
    <cdr:to>
      <cdr:x>0.62644</cdr:x>
      <cdr:y>0.42305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35389895-DCD3-4E4B-B009-02F7904BC200}"/>
            </a:ext>
          </a:extLst>
        </cdr:cNvPr>
        <cdr:cNvCxnSpPr/>
      </cdr:nvCxnSpPr>
      <cdr:spPr>
        <a:xfrm xmlns:a="http://schemas.openxmlformats.org/drawingml/2006/main">
          <a:off x="967742" y="1154975"/>
          <a:ext cx="275082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42</xdr:row>
      <xdr:rowOff>22860</xdr:rowOff>
    </xdr:from>
    <xdr:to>
      <xdr:col>7</xdr:col>
      <xdr:colOff>541020</xdr:colOff>
      <xdr:row>55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CA8A81-058C-44A8-A303-4B5762092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PECC%20Chih/From%20LMP/20190310%20Docs/Sector1A3_Transporte_Ch13-17_15Feb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de actividad"/>
      <sheetName val="SECTOR 1A3"/>
      <sheetName val="Factores_Emisión"/>
    </sheetNames>
    <sheetDataSet>
      <sheetData sheetId="0" refreshError="1"/>
      <sheetData sheetId="1">
        <row r="79">
          <cell r="D79">
            <v>4428248.5837602774</v>
          </cell>
          <cell r="E79">
            <v>4426188.1413603481</v>
          </cell>
          <cell r="F79">
            <v>4702734.3567431951</v>
          </cell>
          <cell r="G79">
            <v>4880585.0508820917</v>
          </cell>
          <cell r="H79">
            <v>4796299.8002800457</v>
          </cell>
        </row>
        <row r="80">
          <cell r="D80">
            <v>2001128.6730818369</v>
          </cell>
          <cell r="E80">
            <v>1938721.7684055031</v>
          </cell>
          <cell r="F80">
            <v>2121764.4851770676</v>
          </cell>
          <cell r="G80">
            <v>2104916.9179122448</v>
          </cell>
          <cell r="H80">
            <v>2066510.7367973176</v>
          </cell>
        </row>
        <row r="81">
          <cell r="D81">
            <v>79135.950372023261</v>
          </cell>
          <cell r="E81">
            <v>89551.379957462021</v>
          </cell>
          <cell r="F81">
            <v>108802.96865633164</v>
          </cell>
          <cell r="G81">
            <v>107855.66508678251</v>
          </cell>
          <cell r="H81">
            <v>93802.809700882499</v>
          </cell>
        </row>
        <row r="82">
          <cell r="D82">
            <v>122413.76132133088</v>
          </cell>
          <cell r="E82">
            <v>131235.0965897142</v>
          </cell>
          <cell r="F82">
            <v>140056.43185809755</v>
          </cell>
          <cell r="G82">
            <v>148877.76712648087</v>
          </cell>
          <cell r="H82">
            <v>157699.1023948642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ie.energia.gob.mx/bdiController.do?action=cuadro&amp;cvecua=IIIA1C0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EF71-096E-4E82-B4FB-7220166DB322}">
  <dimension ref="A2:U179"/>
  <sheetViews>
    <sheetView topLeftCell="A73" zoomScale="80" zoomScaleNormal="80" workbookViewId="0">
      <selection activeCell="G43" sqref="G43:K43"/>
    </sheetView>
  </sheetViews>
  <sheetFormatPr defaultColWidth="11.44140625" defaultRowHeight="14.4" x14ac:dyDescent="0.3"/>
  <cols>
    <col min="1" max="1" width="12.33203125" style="1" customWidth="1"/>
    <col min="2" max="4" width="11.44140625" style="1"/>
    <col min="5" max="5" width="19.5546875" style="1" customWidth="1"/>
    <col min="6" max="12" width="11.44140625" style="1"/>
    <col min="13" max="14" width="13.109375" style="1" customWidth="1"/>
    <col min="15" max="16384" width="11.44140625" style="1"/>
  </cols>
  <sheetData>
    <row r="2" spans="1:14" ht="18" x14ac:dyDescent="0.35">
      <c r="A2" s="2"/>
      <c r="B2" s="3" t="s">
        <v>157</v>
      </c>
      <c r="C2" s="2"/>
      <c r="D2" s="2"/>
      <c r="E2" s="2"/>
      <c r="F2" s="2"/>
      <c r="G2" s="2"/>
      <c r="H2" s="2"/>
      <c r="I2" s="2"/>
      <c r="J2" s="2"/>
    </row>
    <row r="3" spans="1:14" x14ac:dyDescent="0.3">
      <c r="A3" s="2"/>
      <c r="B3" s="4" t="s">
        <v>158</v>
      </c>
      <c r="C3" s="2"/>
      <c r="D3" s="2"/>
      <c r="E3" s="2"/>
      <c r="F3" s="2"/>
      <c r="G3" s="2"/>
      <c r="H3" s="2"/>
      <c r="I3" s="2"/>
      <c r="J3" s="2"/>
    </row>
    <row r="4" spans="1:14" x14ac:dyDescent="0.3">
      <c r="A4" s="2"/>
      <c r="B4" s="5" t="s">
        <v>159</v>
      </c>
      <c r="C4" s="2"/>
      <c r="D4" s="2"/>
      <c r="E4" s="2"/>
      <c r="F4" s="2"/>
      <c r="G4" s="2"/>
      <c r="H4" s="2"/>
      <c r="I4" s="2"/>
      <c r="J4" s="2"/>
    </row>
    <row r="5" spans="1:14" x14ac:dyDescent="0.3">
      <c r="A5" s="2"/>
      <c r="B5" s="5" t="s">
        <v>160</v>
      </c>
      <c r="C5" s="2"/>
      <c r="D5" s="2"/>
      <c r="E5" s="2"/>
      <c r="F5" s="2"/>
      <c r="G5" s="2"/>
      <c r="H5" s="2"/>
      <c r="I5" s="2"/>
      <c r="J5" s="2"/>
    </row>
    <row r="6" spans="1:14" x14ac:dyDescent="0.3">
      <c r="A6" s="2"/>
      <c r="B6" s="5" t="s">
        <v>161</v>
      </c>
      <c r="C6" s="2"/>
      <c r="D6" s="2"/>
      <c r="E6" s="2"/>
      <c r="F6" s="2"/>
      <c r="G6" s="2"/>
      <c r="H6" s="2"/>
      <c r="I6" s="2"/>
      <c r="J6" s="2"/>
    </row>
    <row r="7" spans="1:14" x14ac:dyDescent="0.3">
      <c r="A7" s="2"/>
      <c r="B7" s="5" t="s">
        <v>162</v>
      </c>
      <c r="C7" s="2"/>
      <c r="D7" s="2"/>
      <c r="E7" s="2"/>
      <c r="F7" s="2"/>
      <c r="G7" s="2"/>
      <c r="H7" s="2"/>
      <c r="I7" s="2"/>
      <c r="J7" s="2"/>
    </row>
    <row r="8" spans="1:14" x14ac:dyDescent="0.3">
      <c r="A8" s="2"/>
      <c r="B8" s="6" t="s">
        <v>163</v>
      </c>
      <c r="C8" s="2"/>
      <c r="D8" s="2"/>
      <c r="E8" s="2"/>
      <c r="F8" s="2"/>
      <c r="G8" s="2"/>
      <c r="H8" s="2"/>
      <c r="I8" s="2"/>
      <c r="J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4" ht="18" x14ac:dyDescent="0.4">
      <c r="A10" s="7" t="s">
        <v>167</v>
      </c>
      <c r="C10" s="8"/>
      <c r="D10" s="8"/>
      <c r="E10" s="8"/>
      <c r="F10" s="8"/>
      <c r="G10" s="8"/>
      <c r="H10" s="8"/>
      <c r="I10" s="2"/>
      <c r="J10" s="2"/>
    </row>
    <row r="11" spans="1:14" x14ac:dyDescent="0.3">
      <c r="A11" s="9" t="s">
        <v>164</v>
      </c>
      <c r="C11" s="8"/>
      <c r="D11" s="8"/>
      <c r="E11" s="8"/>
      <c r="F11" s="8"/>
      <c r="G11" s="8"/>
      <c r="H11" s="8"/>
      <c r="I11" s="2"/>
      <c r="J11" s="2"/>
    </row>
    <row r="12" spans="1:14" x14ac:dyDescent="0.3">
      <c r="A12" s="2"/>
      <c r="B12" s="9"/>
      <c r="C12" s="8"/>
      <c r="D12" s="8"/>
      <c r="E12" s="8"/>
      <c r="F12" s="8"/>
      <c r="G12" s="8"/>
      <c r="H12" s="8"/>
      <c r="I12" s="2"/>
      <c r="J12" s="2"/>
    </row>
    <row r="13" spans="1:14" ht="15.75" customHeight="1" x14ac:dyDescent="0.3">
      <c r="A13" s="11" t="s">
        <v>166</v>
      </c>
      <c r="B13" s="11"/>
      <c r="C13" s="11"/>
      <c r="D13" s="11"/>
      <c r="E13" s="11"/>
      <c r="F13" s="11"/>
      <c r="G13" s="10">
        <v>2013</v>
      </c>
      <c r="H13" s="10">
        <v>2014</v>
      </c>
      <c r="I13" s="10">
        <v>2015</v>
      </c>
      <c r="J13" s="10">
        <v>2016</v>
      </c>
      <c r="K13" s="10">
        <v>2017</v>
      </c>
      <c r="M13" s="74" t="s">
        <v>256</v>
      </c>
      <c r="N13" s="74" t="s">
        <v>255</v>
      </c>
    </row>
    <row r="14" spans="1:14" ht="15.75" customHeight="1" x14ac:dyDescent="0.3">
      <c r="A14" s="92" t="s">
        <v>172</v>
      </c>
      <c r="B14" s="93"/>
      <c r="C14" s="93"/>
      <c r="D14" s="93"/>
      <c r="E14" s="93"/>
      <c r="F14" s="94"/>
      <c r="G14" s="20">
        <f>G16+G55+G109+G150+G165</f>
        <v>29717.490613996521</v>
      </c>
      <c r="H14" s="20">
        <f t="shared" ref="H14:K14" si="0">H16+H55+H109+H150+H165</f>
        <v>29893.679334214514</v>
      </c>
      <c r="I14" s="20">
        <f t="shared" si="0"/>
        <v>29879.72682345628</v>
      </c>
      <c r="J14" s="20">
        <f t="shared" si="0"/>
        <v>30652.015083478462</v>
      </c>
      <c r="K14" s="20">
        <f t="shared" si="0"/>
        <v>31008.664334096931</v>
      </c>
      <c r="M14" s="76">
        <f>AVERAGE(G14:K14)</f>
        <v>30230.315237848543</v>
      </c>
      <c r="N14" s="75">
        <f>SUM(N15:N176)</f>
        <v>0.89760917416054586</v>
      </c>
    </row>
    <row r="15" spans="1:14" ht="18" x14ac:dyDescent="0.3">
      <c r="A15" s="92" t="s">
        <v>173</v>
      </c>
      <c r="B15" s="93"/>
      <c r="C15" s="93"/>
      <c r="D15" s="93"/>
      <c r="E15" s="93"/>
      <c r="F15" s="94"/>
      <c r="G15" s="20">
        <f>G16+G55+G108+G165</f>
        <v>16975.803371583472</v>
      </c>
      <c r="H15" s="20">
        <f t="shared" ref="H15:K15" si="1">H16+H55+H108+H165</f>
        <v>17151.992091801469</v>
      </c>
      <c r="I15" s="20">
        <f t="shared" si="1"/>
        <v>17138.039581043235</v>
      </c>
      <c r="J15" s="20">
        <f t="shared" si="1"/>
        <v>17910.327841065417</v>
      </c>
      <c r="K15" s="20">
        <f t="shared" si="1"/>
        <v>18266.97709168389</v>
      </c>
      <c r="M15" s="68"/>
      <c r="N15" s="68"/>
    </row>
    <row r="16" spans="1:14" ht="15.6" x14ac:dyDescent="0.3">
      <c r="A16" s="12" t="s">
        <v>0</v>
      </c>
      <c r="B16" s="12"/>
      <c r="C16" s="12"/>
      <c r="D16" s="12"/>
      <c r="E16" s="12"/>
      <c r="F16" s="12"/>
      <c r="G16" s="13">
        <f>G17+G45</f>
        <v>17727.115598054977</v>
      </c>
      <c r="H16" s="13">
        <f t="shared" ref="H16:K16" si="2">H17+H45</f>
        <v>17731.084848380782</v>
      </c>
      <c r="I16" s="13">
        <f t="shared" si="2"/>
        <v>17514.147654160588</v>
      </c>
      <c r="J16" s="13">
        <f t="shared" si="2"/>
        <v>16880.338448097162</v>
      </c>
      <c r="K16" s="13">
        <f t="shared" si="2"/>
        <v>16866.399815652218</v>
      </c>
      <c r="M16" s="68"/>
      <c r="N16" s="68"/>
    </row>
    <row r="17" spans="1:14" x14ac:dyDescent="0.3">
      <c r="A17" s="95" t="s">
        <v>1</v>
      </c>
      <c r="B17" s="95"/>
      <c r="C17" s="95"/>
      <c r="D17" s="95"/>
      <c r="E17" s="95"/>
      <c r="F17" s="95"/>
      <c r="G17" s="14">
        <f>G18+G22+G36+G42</f>
        <v>17484.639004548393</v>
      </c>
      <c r="H17" s="14">
        <f t="shared" ref="H17:K17" si="3">H18+H22+H36+H42</f>
        <v>17365.201101042217</v>
      </c>
      <c r="I17" s="14">
        <f>I18+I22+I36+I42</f>
        <v>16829.769137826588</v>
      </c>
      <c r="J17" s="14">
        <f t="shared" si="3"/>
        <v>16880.338448097162</v>
      </c>
      <c r="K17" s="14">
        <f t="shared" si="3"/>
        <v>16866.399815652218</v>
      </c>
      <c r="M17" s="68"/>
      <c r="N17" s="68"/>
    </row>
    <row r="18" spans="1:14" x14ac:dyDescent="0.3">
      <c r="A18" s="96" t="s">
        <v>2</v>
      </c>
      <c r="B18" s="96"/>
      <c r="C18" s="96"/>
      <c r="D18" s="96"/>
      <c r="E18" s="96"/>
      <c r="F18" s="96"/>
      <c r="G18" s="17">
        <f>G19</f>
        <v>7455.9975583291443</v>
      </c>
      <c r="H18" s="17">
        <f t="shared" ref="H18:K18" si="4">H19</f>
        <v>7571.1309101920633</v>
      </c>
      <c r="I18" s="17">
        <f t="shared" si="4"/>
        <v>6802.5087638073956</v>
      </c>
      <c r="J18" s="17">
        <f t="shared" si="4"/>
        <v>6138.4415293878492</v>
      </c>
      <c r="K18" s="17">
        <f t="shared" si="4"/>
        <v>6128.9641910759028</v>
      </c>
      <c r="M18" s="69"/>
      <c r="N18" s="71"/>
    </row>
    <row r="19" spans="1:14" x14ac:dyDescent="0.3">
      <c r="A19" s="100" t="s">
        <v>3</v>
      </c>
      <c r="B19" s="100"/>
      <c r="C19" s="100"/>
      <c r="D19" s="100"/>
      <c r="E19" s="100"/>
      <c r="F19" s="100"/>
      <c r="G19" s="18">
        <v>7455.9975583291443</v>
      </c>
      <c r="H19" s="18">
        <v>7571.1309101920633</v>
      </c>
      <c r="I19" s="18">
        <v>6802.5087638073956</v>
      </c>
      <c r="J19" s="18">
        <v>6138.4415293878492</v>
      </c>
      <c r="K19" s="18">
        <v>6128.9641910759028</v>
      </c>
      <c r="M19" s="69">
        <f>AVERAGE(G19:K19)</f>
        <v>6819.4085905584707</v>
      </c>
      <c r="N19" s="70">
        <f>M19/$M$14</f>
        <v>0.2255817889064064</v>
      </c>
    </row>
    <row r="20" spans="1:14" hidden="1" x14ac:dyDescent="0.3">
      <c r="A20" s="100" t="s">
        <v>4</v>
      </c>
      <c r="B20" s="100"/>
      <c r="C20" s="100"/>
      <c r="D20" s="100"/>
      <c r="E20" s="100"/>
      <c r="F20" s="100"/>
      <c r="G20" s="16">
        <v>1830.1041703016547</v>
      </c>
      <c r="H20" s="16">
        <v>1814.4799327099774</v>
      </c>
      <c r="I20" s="16">
        <v>1435.0260239346042</v>
      </c>
      <c r="J20" s="16">
        <v>1993.2791637428973</v>
      </c>
      <c r="K20" s="16">
        <v>2147.0392392463536</v>
      </c>
      <c r="M20" s="68"/>
      <c r="N20" s="70"/>
    </row>
    <row r="21" spans="1:14" hidden="1" x14ac:dyDescent="0.3">
      <c r="A21" s="100" t="s">
        <v>5</v>
      </c>
      <c r="B21" s="100"/>
      <c r="C21" s="100"/>
      <c r="D21" s="100"/>
      <c r="E21" s="100"/>
      <c r="F21" s="100"/>
      <c r="G21" s="16"/>
      <c r="H21" s="16"/>
      <c r="I21" s="16"/>
      <c r="J21" s="16"/>
      <c r="K21" s="16"/>
      <c r="M21" s="68"/>
      <c r="N21" s="70"/>
    </row>
    <row r="22" spans="1:14" x14ac:dyDescent="0.3">
      <c r="A22" s="96" t="s">
        <v>6</v>
      </c>
      <c r="B22" s="96"/>
      <c r="C22" s="96"/>
      <c r="D22" s="96"/>
      <c r="E22" s="96"/>
      <c r="F22" s="96"/>
      <c r="G22" s="17">
        <v>1830.1041703016547</v>
      </c>
      <c r="H22" s="17">
        <v>1814.4799327099774</v>
      </c>
      <c r="I22" s="17">
        <v>1435.0260239346042</v>
      </c>
      <c r="J22" s="17">
        <v>1993.2791637428973</v>
      </c>
      <c r="K22" s="17">
        <v>2147.0392392463536</v>
      </c>
      <c r="M22" s="69">
        <f t="shared" ref="M22:M38" si="5">AVERAGE(G22:K22)</f>
        <v>1843.9857059870974</v>
      </c>
      <c r="N22" s="70">
        <f>M22/$M$14</f>
        <v>6.0997898681467135E-2</v>
      </c>
    </row>
    <row r="23" spans="1:14" hidden="1" x14ac:dyDescent="0.3">
      <c r="A23" s="100" t="s">
        <v>7</v>
      </c>
      <c r="B23" s="100"/>
      <c r="C23" s="100"/>
      <c r="D23" s="100"/>
      <c r="E23" s="100"/>
      <c r="F23" s="100"/>
      <c r="G23" s="16"/>
      <c r="H23" s="16"/>
      <c r="I23" s="16"/>
      <c r="J23" s="16"/>
      <c r="K23" s="16"/>
      <c r="M23" s="69" t="e">
        <f t="shared" si="5"/>
        <v>#DIV/0!</v>
      </c>
      <c r="N23" s="70"/>
    </row>
    <row r="24" spans="1:14" hidden="1" x14ac:dyDescent="0.3">
      <c r="A24" s="100" t="s">
        <v>8</v>
      </c>
      <c r="B24" s="100"/>
      <c r="C24" s="100"/>
      <c r="D24" s="100"/>
      <c r="E24" s="100"/>
      <c r="F24" s="100"/>
      <c r="G24" s="16"/>
      <c r="H24" s="16"/>
      <c r="I24" s="16"/>
      <c r="J24" s="16"/>
      <c r="K24" s="16"/>
      <c r="M24" s="69" t="e">
        <f t="shared" si="5"/>
        <v>#DIV/0!</v>
      </c>
      <c r="N24" s="70"/>
    </row>
    <row r="25" spans="1:14" hidden="1" x14ac:dyDescent="0.3">
      <c r="A25" s="100" t="s">
        <v>9</v>
      </c>
      <c r="B25" s="100"/>
      <c r="C25" s="100"/>
      <c r="D25" s="100"/>
      <c r="E25" s="100"/>
      <c r="F25" s="100"/>
      <c r="G25" s="16"/>
      <c r="H25" s="16"/>
      <c r="I25" s="16"/>
      <c r="J25" s="16"/>
      <c r="K25" s="16"/>
      <c r="M25" s="69" t="e">
        <f t="shared" si="5"/>
        <v>#DIV/0!</v>
      </c>
      <c r="N25" s="70"/>
    </row>
    <row r="26" spans="1:14" hidden="1" x14ac:dyDescent="0.3">
      <c r="A26" s="100" t="s">
        <v>10</v>
      </c>
      <c r="B26" s="100"/>
      <c r="C26" s="100"/>
      <c r="D26" s="100"/>
      <c r="E26" s="100"/>
      <c r="F26" s="100"/>
      <c r="G26" s="16"/>
      <c r="H26" s="16"/>
      <c r="I26" s="16"/>
      <c r="J26" s="16"/>
      <c r="K26" s="16"/>
      <c r="M26" s="69" t="e">
        <f t="shared" si="5"/>
        <v>#DIV/0!</v>
      </c>
      <c r="N26" s="70"/>
    </row>
    <row r="27" spans="1:14" hidden="1" x14ac:dyDescent="0.3">
      <c r="A27" s="100" t="s">
        <v>11</v>
      </c>
      <c r="B27" s="100"/>
      <c r="C27" s="100"/>
      <c r="D27" s="100"/>
      <c r="E27" s="100"/>
      <c r="F27" s="100"/>
      <c r="G27" s="16"/>
      <c r="H27" s="16"/>
      <c r="I27" s="16"/>
      <c r="J27" s="16"/>
      <c r="K27" s="16"/>
      <c r="M27" s="69" t="e">
        <f t="shared" si="5"/>
        <v>#DIV/0!</v>
      </c>
      <c r="N27" s="70"/>
    </row>
    <row r="28" spans="1:14" hidden="1" x14ac:dyDescent="0.3">
      <c r="A28" s="100" t="s">
        <v>12</v>
      </c>
      <c r="B28" s="100"/>
      <c r="C28" s="100"/>
      <c r="D28" s="100"/>
      <c r="E28" s="100"/>
      <c r="F28" s="100"/>
      <c r="G28" s="16"/>
      <c r="H28" s="16"/>
      <c r="I28" s="16"/>
      <c r="J28" s="16"/>
      <c r="K28" s="16"/>
      <c r="M28" s="69" t="e">
        <f t="shared" si="5"/>
        <v>#DIV/0!</v>
      </c>
      <c r="N28" s="70"/>
    </row>
    <row r="29" spans="1:14" hidden="1" x14ac:dyDescent="0.3">
      <c r="A29" s="100" t="s">
        <v>13</v>
      </c>
      <c r="B29" s="100"/>
      <c r="C29" s="100"/>
      <c r="D29" s="100"/>
      <c r="E29" s="100"/>
      <c r="F29" s="100"/>
      <c r="G29" s="16"/>
      <c r="H29" s="16"/>
      <c r="I29" s="16"/>
      <c r="J29" s="16"/>
      <c r="K29" s="16"/>
      <c r="M29" s="69" t="e">
        <f t="shared" si="5"/>
        <v>#DIV/0!</v>
      </c>
      <c r="N29" s="70"/>
    </row>
    <row r="30" spans="1:14" hidden="1" x14ac:dyDescent="0.3">
      <c r="A30" s="100" t="s">
        <v>14</v>
      </c>
      <c r="B30" s="100"/>
      <c r="C30" s="100"/>
      <c r="D30" s="100"/>
      <c r="E30" s="100"/>
      <c r="F30" s="100"/>
      <c r="G30" s="16"/>
      <c r="H30" s="16"/>
      <c r="I30" s="16"/>
      <c r="J30" s="16"/>
      <c r="K30" s="16"/>
      <c r="M30" s="69" t="e">
        <f t="shared" si="5"/>
        <v>#DIV/0!</v>
      </c>
      <c r="N30" s="70"/>
    </row>
    <row r="31" spans="1:14" hidden="1" x14ac:dyDescent="0.3">
      <c r="A31" s="100" t="s">
        <v>15</v>
      </c>
      <c r="B31" s="100"/>
      <c r="C31" s="100"/>
      <c r="D31" s="100"/>
      <c r="E31" s="100"/>
      <c r="F31" s="100"/>
      <c r="G31" s="16"/>
      <c r="H31" s="16"/>
      <c r="I31" s="16"/>
      <c r="J31" s="16"/>
      <c r="K31" s="16"/>
      <c r="M31" s="69" t="e">
        <f t="shared" si="5"/>
        <v>#DIV/0!</v>
      </c>
      <c r="N31" s="70"/>
    </row>
    <row r="32" spans="1:14" hidden="1" x14ac:dyDescent="0.3">
      <c r="A32" s="100" t="s">
        <v>16</v>
      </c>
      <c r="B32" s="100"/>
      <c r="C32" s="100"/>
      <c r="D32" s="100"/>
      <c r="E32" s="100"/>
      <c r="F32" s="100"/>
      <c r="G32" s="16"/>
      <c r="H32" s="16"/>
      <c r="I32" s="16"/>
      <c r="J32" s="16"/>
      <c r="K32" s="16"/>
      <c r="M32" s="69" t="e">
        <f t="shared" si="5"/>
        <v>#DIV/0!</v>
      </c>
      <c r="N32" s="70"/>
    </row>
    <row r="33" spans="1:14" hidden="1" x14ac:dyDescent="0.3">
      <c r="A33" s="100" t="s">
        <v>17</v>
      </c>
      <c r="B33" s="100"/>
      <c r="C33" s="100"/>
      <c r="D33" s="100"/>
      <c r="E33" s="100"/>
      <c r="F33" s="100"/>
      <c r="G33" s="16"/>
      <c r="H33" s="16"/>
      <c r="I33" s="16"/>
      <c r="J33" s="16"/>
      <c r="K33" s="16"/>
      <c r="M33" s="69" t="e">
        <f t="shared" si="5"/>
        <v>#DIV/0!</v>
      </c>
      <c r="N33" s="70"/>
    </row>
    <row r="34" spans="1:14" hidden="1" x14ac:dyDescent="0.3">
      <c r="A34" s="100" t="s">
        <v>18</v>
      </c>
      <c r="B34" s="100"/>
      <c r="C34" s="100"/>
      <c r="D34" s="100"/>
      <c r="E34" s="100"/>
      <c r="F34" s="100"/>
      <c r="G34" s="16"/>
      <c r="H34" s="16"/>
      <c r="I34" s="16"/>
      <c r="J34" s="16"/>
      <c r="K34" s="16"/>
      <c r="M34" s="69" t="e">
        <f t="shared" si="5"/>
        <v>#DIV/0!</v>
      </c>
      <c r="N34" s="70"/>
    </row>
    <row r="35" spans="1:14" hidden="1" x14ac:dyDescent="0.3">
      <c r="A35" s="100" t="s">
        <v>19</v>
      </c>
      <c r="B35" s="100"/>
      <c r="C35" s="100"/>
      <c r="D35" s="100"/>
      <c r="E35" s="100"/>
      <c r="F35" s="100"/>
      <c r="G35" s="16"/>
      <c r="H35" s="16"/>
      <c r="I35" s="16"/>
      <c r="J35" s="16"/>
      <c r="K35" s="16"/>
      <c r="M35" s="69" t="e">
        <f t="shared" si="5"/>
        <v>#DIV/0!</v>
      </c>
      <c r="N35" s="70"/>
    </row>
    <row r="36" spans="1:14" x14ac:dyDescent="0.3">
      <c r="A36" s="96" t="s">
        <v>20</v>
      </c>
      <c r="B36" s="96"/>
      <c r="C36" s="96"/>
      <c r="D36" s="96"/>
      <c r="E36" s="96"/>
      <c r="F36" s="96"/>
      <c r="G36" s="17">
        <f>SUM(G37:G41)</f>
        <v>6630.9269685354639</v>
      </c>
      <c r="H36" s="17">
        <f t="shared" ref="H36:K36" si="6">SUM(H37:H41)</f>
        <v>6585.6963863130259</v>
      </c>
      <c r="I36" s="17">
        <f t="shared" si="6"/>
        <v>7073.3582424346905</v>
      </c>
      <c r="J36" s="17">
        <f t="shared" si="6"/>
        <v>7242.2354010076042</v>
      </c>
      <c r="K36" s="17">
        <f t="shared" si="6"/>
        <v>7114.3124491731069</v>
      </c>
      <c r="M36" s="69"/>
      <c r="N36" s="70"/>
    </row>
    <row r="37" spans="1:14" x14ac:dyDescent="0.3">
      <c r="A37" s="100" t="s">
        <v>21</v>
      </c>
      <c r="B37" s="100"/>
      <c r="C37" s="100"/>
      <c r="D37" s="100"/>
      <c r="E37" s="100"/>
      <c r="F37" s="100"/>
      <c r="G37" s="18">
        <f>122413.761321331/1000</f>
        <v>122.41376132133099</v>
      </c>
      <c r="H37" s="18">
        <f>131235.096589714/1000</f>
        <v>131.235096589714</v>
      </c>
      <c r="I37" s="18">
        <f>140056.431858098/1000</f>
        <v>140.05643185809799</v>
      </c>
      <c r="J37" s="18">
        <f>148877.767126481/1000</f>
        <v>148.87776712648099</v>
      </c>
      <c r="K37" s="18">
        <f>157699.102394864/1000</f>
        <v>157.69910239486398</v>
      </c>
      <c r="M37" s="68"/>
      <c r="N37" s="70"/>
    </row>
    <row r="38" spans="1:14" x14ac:dyDescent="0.3">
      <c r="A38" s="100" t="s">
        <v>22</v>
      </c>
      <c r="B38" s="100"/>
      <c r="C38" s="100"/>
      <c r="D38" s="100"/>
      <c r="E38" s="100"/>
      <c r="F38" s="100"/>
      <c r="G38" s="18">
        <f>6429377.25684211/1000</f>
        <v>6429.37725684211</v>
      </c>
      <c r="H38" s="18">
        <f>6364909.90976585/1000</f>
        <v>6364.90990976585</v>
      </c>
      <c r="I38" s="18">
        <f>6824498.84192026/1000</f>
        <v>6824.49884192026</v>
      </c>
      <c r="J38" s="18">
        <f>6985501.96879434/1000</f>
        <v>6985.5019687943404</v>
      </c>
      <c r="K38" s="18">
        <f>6862810.53707736/1000</f>
        <v>6862.8105370773601</v>
      </c>
      <c r="M38" s="69">
        <f t="shared" si="5"/>
        <v>6693.4197028799845</v>
      </c>
      <c r="N38" s="70">
        <f>M38/$M$14</f>
        <v>0.22141415497049735</v>
      </c>
    </row>
    <row r="39" spans="1:14" x14ac:dyDescent="0.3">
      <c r="A39" s="100" t="s">
        <v>23</v>
      </c>
      <c r="B39" s="100"/>
      <c r="C39" s="100"/>
      <c r="D39" s="100"/>
      <c r="E39" s="100"/>
      <c r="F39" s="100"/>
      <c r="G39" s="18">
        <f>79135.9503720233/1000</f>
        <v>79.135950372023302</v>
      </c>
      <c r="H39" s="18">
        <f>89551.379957462/1000</f>
        <v>89.551379957462004</v>
      </c>
      <c r="I39" s="18">
        <f>108802.968656332/1000</f>
        <v>108.802968656332</v>
      </c>
      <c r="J39" s="18">
        <f>107855.665086783/1000</f>
        <v>107.85566508678301</v>
      </c>
      <c r="K39" s="18">
        <f>93802.8097008825/1000</f>
        <v>93.802809700882506</v>
      </c>
      <c r="M39" s="68"/>
      <c r="N39" s="70"/>
    </row>
    <row r="40" spans="1:14" hidden="1" x14ac:dyDescent="0.3">
      <c r="A40" s="100" t="s">
        <v>24</v>
      </c>
      <c r="B40" s="100"/>
      <c r="C40" s="100"/>
      <c r="D40" s="100"/>
      <c r="E40" s="100"/>
      <c r="F40" s="100"/>
      <c r="G40" s="16"/>
      <c r="H40" s="16"/>
      <c r="I40" s="16"/>
      <c r="J40" s="16"/>
      <c r="K40" s="16"/>
      <c r="M40" s="68"/>
      <c r="N40" s="70"/>
    </row>
    <row r="41" spans="1:14" hidden="1" x14ac:dyDescent="0.3">
      <c r="A41" s="100" t="s">
        <v>25</v>
      </c>
      <c r="B41" s="100"/>
      <c r="C41" s="100"/>
      <c r="D41" s="100"/>
      <c r="E41" s="100"/>
      <c r="F41" s="100"/>
      <c r="G41" s="16"/>
      <c r="H41" s="16"/>
      <c r="I41" s="16"/>
      <c r="J41" s="16"/>
      <c r="K41" s="16"/>
      <c r="M41" s="68"/>
      <c r="N41" s="70"/>
    </row>
    <row r="42" spans="1:14" x14ac:dyDescent="0.3">
      <c r="A42" s="96" t="s">
        <v>26</v>
      </c>
      <c r="B42" s="96"/>
      <c r="C42" s="96"/>
      <c r="D42" s="96"/>
      <c r="E42" s="96"/>
      <c r="F42" s="96"/>
      <c r="G42" s="17">
        <f>SUM(G43:G44)</f>
        <v>1567.6103073821278</v>
      </c>
      <c r="H42" s="17">
        <f t="shared" ref="H42:K42" si="7">SUM(H43:H44)</f>
        <v>1393.8938718271511</v>
      </c>
      <c r="I42" s="17">
        <f t="shared" si="7"/>
        <v>1518.8761076499006</v>
      </c>
      <c r="J42" s="17">
        <f t="shared" si="7"/>
        <v>1506.3823539588132</v>
      </c>
      <c r="K42" s="17">
        <f t="shared" si="7"/>
        <v>1476.0839361568537</v>
      </c>
      <c r="M42" s="69"/>
      <c r="N42" s="70"/>
    </row>
    <row r="43" spans="1:14" x14ac:dyDescent="0.3">
      <c r="A43" s="100" t="s">
        <v>168</v>
      </c>
      <c r="B43" s="100"/>
      <c r="C43" s="100"/>
      <c r="D43" s="100"/>
      <c r="E43" s="100"/>
      <c r="F43" s="100"/>
      <c r="G43" s="18">
        <v>1567.6103073821278</v>
      </c>
      <c r="H43" s="18">
        <v>1393.8938718271511</v>
      </c>
      <c r="I43" s="18">
        <v>1518.8761076499006</v>
      </c>
      <c r="J43" s="18">
        <v>1506.3823539588132</v>
      </c>
      <c r="K43" s="18">
        <v>1476.0839361568537</v>
      </c>
      <c r="M43" s="69">
        <f>AVERAGE(G43:K43)</f>
        <v>1492.5693153949692</v>
      </c>
      <c r="N43" s="70">
        <f>M43/$M$14</f>
        <v>4.937326335010437E-2</v>
      </c>
    </row>
    <row r="44" spans="1:14" hidden="1" x14ac:dyDescent="0.3">
      <c r="A44" s="100" t="s">
        <v>27</v>
      </c>
      <c r="B44" s="100"/>
      <c r="C44" s="100"/>
      <c r="D44" s="100"/>
      <c r="E44" s="100"/>
      <c r="F44" s="100"/>
      <c r="G44" s="16"/>
      <c r="H44" s="16"/>
      <c r="I44" s="16"/>
      <c r="J44" s="16"/>
      <c r="K44" s="16"/>
      <c r="M44" s="68"/>
      <c r="N44" s="70"/>
    </row>
    <row r="45" spans="1:14" x14ac:dyDescent="0.3">
      <c r="A45" s="95" t="s">
        <v>28</v>
      </c>
      <c r="B45" s="95"/>
      <c r="C45" s="95"/>
      <c r="D45" s="95"/>
      <c r="E45" s="95"/>
      <c r="F45" s="95"/>
      <c r="G45" s="14">
        <f>G51</f>
        <v>242.47659350658463</v>
      </c>
      <c r="H45" s="14">
        <f t="shared" ref="H45:K45" si="8">H51</f>
        <v>365.88374733856438</v>
      </c>
      <c r="I45" s="14">
        <f t="shared" si="8"/>
        <v>684.37851633399862</v>
      </c>
      <c r="J45" s="14">
        <f t="shared" si="8"/>
        <v>0</v>
      </c>
      <c r="K45" s="14">
        <f t="shared" si="8"/>
        <v>0</v>
      </c>
      <c r="M45" s="68"/>
      <c r="N45" s="70"/>
    </row>
    <row r="46" spans="1:14" hidden="1" x14ac:dyDescent="0.3">
      <c r="A46" s="96" t="s">
        <v>29</v>
      </c>
      <c r="B46" s="96"/>
      <c r="C46" s="96"/>
      <c r="D46" s="96"/>
      <c r="E46" s="96"/>
      <c r="F46" s="96"/>
      <c r="G46" s="15"/>
      <c r="H46" s="15"/>
      <c r="I46" s="15"/>
      <c r="J46" s="15"/>
      <c r="K46" s="15"/>
      <c r="M46" s="68"/>
      <c r="N46" s="70"/>
    </row>
    <row r="47" spans="1:14" hidden="1" x14ac:dyDescent="0.3">
      <c r="A47" s="100" t="s">
        <v>30</v>
      </c>
      <c r="B47" s="100"/>
      <c r="C47" s="100"/>
      <c r="D47" s="100"/>
      <c r="E47" s="100"/>
      <c r="F47" s="100"/>
      <c r="G47" s="18">
        <f>SUM(G48:G49)</f>
        <v>0</v>
      </c>
      <c r="H47" s="18">
        <f t="shared" ref="H47:K47" si="9">SUM(H48:H49)</f>
        <v>0</v>
      </c>
      <c r="I47" s="18">
        <f t="shared" si="9"/>
        <v>0</v>
      </c>
      <c r="J47" s="18">
        <f t="shared" si="9"/>
        <v>0</v>
      </c>
      <c r="K47" s="18">
        <f t="shared" si="9"/>
        <v>0</v>
      </c>
      <c r="M47" s="68"/>
      <c r="N47" s="70"/>
    </row>
    <row r="48" spans="1:14" hidden="1" x14ac:dyDescent="0.3">
      <c r="A48" s="100" t="s">
        <v>31</v>
      </c>
      <c r="B48" s="100"/>
      <c r="C48" s="100"/>
      <c r="D48" s="100"/>
      <c r="E48" s="100"/>
      <c r="F48" s="100"/>
      <c r="G48" s="16"/>
      <c r="H48" s="16"/>
      <c r="I48" s="16"/>
      <c r="J48" s="16"/>
      <c r="K48" s="16"/>
      <c r="M48" s="68"/>
      <c r="N48" s="70"/>
    </row>
    <row r="49" spans="1:14" hidden="1" x14ac:dyDescent="0.3">
      <c r="A49" s="100" t="s">
        <v>32</v>
      </c>
      <c r="B49" s="100"/>
      <c r="C49" s="100"/>
      <c r="D49" s="100"/>
      <c r="E49" s="100"/>
      <c r="F49" s="100"/>
      <c r="G49" s="16"/>
      <c r="H49" s="16"/>
      <c r="I49" s="16"/>
      <c r="J49" s="16"/>
      <c r="K49" s="16"/>
      <c r="M49" s="68"/>
      <c r="N49" s="70"/>
    </row>
    <row r="50" spans="1:14" hidden="1" x14ac:dyDescent="0.3">
      <c r="A50" s="100" t="s">
        <v>33</v>
      </c>
      <c r="B50" s="100"/>
      <c r="C50" s="100"/>
      <c r="D50" s="100"/>
      <c r="E50" s="100"/>
      <c r="F50" s="100"/>
      <c r="G50" s="16"/>
      <c r="H50" s="16"/>
      <c r="I50" s="16"/>
      <c r="J50" s="16"/>
      <c r="K50" s="16"/>
      <c r="M50" s="68"/>
      <c r="N50" s="70"/>
    </row>
    <row r="51" spans="1:14" x14ac:dyDescent="0.3">
      <c r="A51" s="96" t="s">
        <v>34</v>
      </c>
      <c r="B51" s="96"/>
      <c r="C51" s="96"/>
      <c r="D51" s="96"/>
      <c r="E51" s="96"/>
      <c r="F51" s="96"/>
      <c r="G51" s="17">
        <f>SUM(G52:G53)</f>
        <v>242.47659350658463</v>
      </c>
      <c r="H51" s="17">
        <f t="shared" ref="H51:K51" si="10">SUM(H52:H53)</f>
        <v>365.88374733856438</v>
      </c>
      <c r="I51" s="17">
        <f t="shared" si="10"/>
        <v>684.37851633399862</v>
      </c>
      <c r="J51" s="17">
        <f t="shared" si="10"/>
        <v>0</v>
      </c>
      <c r="K51" s="17">
        <f t="shared" si="10"/>
        <v>0</v>
      </c>
      <c r="M51" s="69"/>
      <c r="N51" s="70"/>
    </row>
    <row r="52" spans="1:14" hidden="1" x14ac:dyDescent="0.3">
      <c r="A52" s="100" t="s">
        <v>35</v>
      </c>
      <c r="B52" s="100"/>
      <c r="C52" s="100"/>
      <c r="D52" s="100"/>
      <c r="E52" s="100"/>
      <c r="F52" s="100"/>
      <c r="G52" s="16"/>
      <c r="H52" s="16"/>
      <c r="I52" s="16"/>
      <c r="J52" s="16"/>
      <c r="K52" s="16"/>
      <c r="M52" s="68"/>
      <c r="N52" s="70"/>
    </row>
    <row r="53" spans="1:14" x14ac:dyDescent="0.3">
      <c r="A53" s="100" t="s">
        <v>169</v>
      </c>
      <c r="B53" s="100"/>
      <c r="C53" s="100"/>
      <c r="D53" s="100"/>
      <c r="E53" s="100"/>
      <c r="F53" s="100"/>
      <c r="G53" s="18">
        <v>242.47659350658463</v>
      </c>
      <c r="H53" s="18">
        <v>365.88374733856438</v>
      </c>
      <c r="I53" s="18">
        <v>684.37851633399862</v>
      </c>
      <c r="J53" s="18">
        <v>0</v>
      </c>
      <c r="K53" s="18">
        <v>0</v>
      </c>
      <c r="M53" s="68"/>
      <c r="N53" s="70"/>
    </row>
    <row r="54" spans="1:14" hidden="1" x14ac:dyDescent="0.3">
      <c r="A54" s="96" t="s">
        <v>36</v>
      </c>
      <c r="B54" s="96"/>
      <c r="C54" s="96"/>
      <c r="D54" s="96"/>
      <c r="E54" s="96"/>
      <c r="F54" s="96"/>
      <c r="G54" s="17"/>
      <c r="H54" s="17"/>
      <c r="I54" s="17"/>
      <c r="J54" s="17"/>
      <c r="K54" s="17"/>
      <c r="M54" s="68"/>
      <c r="N54" s="70"/>
    </row>
    <row r="55" spans="1:14" ht="15.6" x14ac:dyDescent="0.3">
      <c r="A55" s="98" t="s">
        <v>37</v>
      </c>
      <c r="B55" s="98"/>
      <c r="C55" s="98"/>
      <c r="D55" s="98"/>
      <c r="E55" s="98"/>
      <c r="F55" s="99"/>
      <c r="G55" s="13">
        <f>G56+G73</f>
        <v>808.32280504978246</v>
      </c>
      <c r="H55" s="13">
        <f t="shared" ref="H55:K55" si="11">H56+H73</f>
        <v>832.25477426014277</v>
      </c>
      <c r="I55" s="13">
        <f t="shared" si="11"/>
        <v>845.34740887027363</v>
      </c>
      <c r="J55" s="13">
        <f t="shared" si="11"/>
        <v>886.90262961005601</v>
      </c>
      <c r="K55" s="13">
        <f t="shared" si="11"/>
        <v>869.53874770951029</v>
      </c>
      <c r="M55" s="68"/>
      <c r="N55" s="70"/>
    </row>
    <row r="56" spans="1:14" x14ac:dyDescent="0.3">
      <c r="A56" s="95" t="s">
        <v>38</v>
      </c>
      <c r="B56" s="95"/>
      <c r="C56" s="95"/>
      <c r="D56" s="95"/>
      <c r="E56" s="95"/>
      <c r="F56" s="95"/>
      <c r="G56" s="14">
        <f>G57</f>
        <v>564.00324504978244</v>
      </c>
      <c r="H56" s="14">
        <f t="shared" ref="H56:K56" si="12">H57</f>
        <v>596.35701426014282</v>
      </c>
      <c r="I56" s="14">
        <f t="shared" si="12"/>
        <v>645.49640887027363</v>
      </c>
      <c r="J56" s="14">
        <f t="shared" si="12"/>
        <v>661.20134961005601</v>
      </c>
      <c r="K56" s="14">
        <f t="shared" si="12"/>
        <v>677.89834770951029</v>
      </c>
      <c r="M56" s="68"/>
      <c r="N56" s="70"/>
    </row>
    <row r="57" spans="1:14" x14ac:dyDescent="0.3">
      <c r="A57" s="96" t="s">
        <v>39</v>
      </c>
      <c r="B57" s="96"/>
      <c r="C57" s="96"/>
      <c r="D57" s="96"/>
      <c r="E57" s="96"/>
      <c r="F57" s="96"/>
      <c r="G57" s="17">
        <v>564.00324504978244</v>
      </c>
      <c r="H57" s="17">
        <v>596.35701426014282</v>
      </c>
      <c r="I57" s="17">
        <v>645.49640887027363</v>
      </c>
      <c r="J57" s="17">
        <v>661.20134961005601</v>
      </c>
      <c r="K57" s="17">
        <v>677.89834770951029</v>
      </c>
      <c r="M57" s="68"/>
      <c r="N57" s="70"/>
    </row>
    <row r="58" spans="1:14" x14ac:dyDescent="0.3">
      <c r="A58" s="96" t="s">
        <v>40</v>
      </c>
      <c r="B58" s="96"/>
      <c r="C58" s="96"/>
      <c r="D58" s="96"/>
      <c r="E58" s="96"/>
      <c r="F58" s="96"/>
      <c r="G58" s="17"/>
      <c r="H58" s="17"/>
      <c r="I58" s="17"/>
      <c r="J58" s="17"/>
      <c r="K58" s="17"/>
      <c r="M58" s="68"/>
      <c r="N58" s="70"/>
    </row>
    <row r="59" spans="1:14" x14ac:dyDescent="0.3">
      <c r="A59" s="96" t="s">
        <v>41</v>
      </c>
      <c r="B59" s="96"/>
      <c r="C59" s="96"/>
      <c r="D59" s="96"/>
      <c r="E59" s="96"/>
      <c r="F59" s="96"/>
      <c r="G59" s="17"/>
      <c r="H59" s="17"/>
      <c r="I59" s="17"/>
      <c r="J59" s="17"/>
      <c r="K59" s="17"/>
      <c r="M59" s="68"/>
      <c r="N59" s="70"/>
    </row>
    <row r="60" spans="1:14" x14ac:dyDescent="0.3">
      <c r="A60" s="96" t="s">
        <v>42</v>
      </c>
      <c r="B60" s="96"/>
      <c r="C60" s="96"/>
      <c r="D60" s="96"/>
      <c r="E60" s="96"/>
      <c r="F60" s="96"/>
      <c r="G60" s="17"/>
      <c r="H60" s="17"/>
      <c r="I60" s="17"/>
      <c r="J60" s="17"/>
      <c r="K60" s="17"/>
      <c r="M60" s="68"/>
      <c r="N60" s="70"/>
    </row>
    <row r="61" spans="1:14" x14ac:dyDescent="0.3">
      <c r="A61" s="96" t="s">
        <v>43</v>
      </c>
      <c r="B61" s="96"/>
      <c r="C61" s="96"/>
      <c r="D61" s="96"/>
      <c r="E61" s="96"/>
      <c r="F61" s="96"/>
      <c r="G61" s="17"/>
      <c r="H61" s="17"/>
      <c r="I61" s="17"/>
      <c r="J61" s="17"/>
      <c r="K61" s="17"/>
      <c r="M61" s="68"/>
      <c r="N61" s="70"/>
    </row>
    <row r="62" spans="1:14" x14ac:dyDescent="0.3">
      <c r="A62" s="95" t="s">
        <v>44</v>
      </c>
      <c r="B62" s="95"/>
      <c r="C62" s="95"/>
      <c r="D62" s="95"/>
      <c r="E62" s="95"/>
      <c r="F62" s="95"/>
      <c r="G62" s="14"/>
      <c r="H62" s="14"/>
      <c r="I62" s="14"/>
      <c r="J62" s="14"/>
      <c r="K62" s="14"/>
      <c r="M62" s="68"/>
      <c r="N62" s="70"/>
    </row>
    <row r="63" spans="1:14" x14ac:dyDescent="0.3">
      <c r="A63" s="96" t="s">
        <v>45</v>
      </c>
      <c r="B63" s="96"/>
      <c r="C63" s="96"/>
      <c r="D63" s="96"/>
      <c r="E63" s="96"/>
      <c r="F63" s="96"/>
      <c r="G63" s="17"/>
      <c r="H63" s="17"/>
      <c r="I63" s="17"/>
      <c r="J63" s="17"/>
      <c r="K63" s="17"/>
      <c r="M63" s="68"/>
      <c r="N63" s="70"/>
    </row>
    <row r="64" spans="1:14" x14ac:dyDescent="0.3">
      <c r="A64" s="96" t="s">
        <v>46</v>
      </c>
      <c r="B64" s="96"/>
      <c r="C64" s="96"/>
      <c r="D64" s="96"/>
      <c r="E64" s="96"/>
      <c r="F64" s="96"/>
      <c r="G64" s="17"/>
      <c r="H64" s="17"/>
      <c r="I64" s="17"/>
      <c r="J64" s="17"/>
      <c r="K64" s="17"/>
      <c r="M64" s="68"/>
      <c r="N64" s="70"/>
    </row>
    <row r="65" spans="1:14" x14ac:dyDescent="0.3">
      <c r="A65" s="96" t="s">
        <v>47</v>
      </c>
      <c r="B65" s="96"/>
      <c r="C65" s="96"/>
      <c r="D65" s="96"/>
      <c r="E65" s="96"/>
      <c r="F65" s="96"/>
      <c r="G65" s="17"/>
      <c r="H65" s="17"/>
      <c r="I65" s="17"/>
      <c r="J65" s="17"/>
      <c r="K65" s="17"/>
      <c r="M65" s="68"/>
      <c r="N65" s="70"/>
    </row>
    <row r="66" spans="1:14" x14ac:dyDescent="0.3">
      <c r="A66" s="96" t="s">
        <v>48</v>
      </c>
      <c r="B66" s="96"/>
      <c r="C66" s="96"/>
      <c r="D66" s="96"/>
      <c r="E66" s="96"/>
      <c r="F66" s="96"/>
      <c r="G66" s="17"/>
      <c r="H66" s="17"/>
      <c r="I66" s="17"/>
      <c r="J66" s="17"/>
      <c r="K66" s="17"/>
      <c r="M66" s="68"/>
      <c r="N66" s="70"/>
    </row>
    <row r="67" spans="1:14" x14ac:dyDescent="0.3">
      <c r="A67" s="96" t="s">
        <v>49</v>
      </c>
      <c r="B67" s="96"/>
      <c r="C67" s="96"/>
      <c r="D67" s="96"/>
      <c r="E67" s="96"/>
      <c r="F67" s="96"/>
      <c r="G67" s="17"/>
      <c r="H67" s="17"/>
      <c r="I67" s="17"/>
      <c r="J67" s="17"/>
      <c r="K67" s="17"/>
      <c r="M67" s="68"/>
      <c r="N67" s="70"/>
    </row>
    <row r="68" spans="1:14" x14ac:dyDescent="0.3">
      <c r="A68" s="96" t="s">
        <v>50</v>
      </c>
      <c r="B68" s="96"/>
      <c r="C68" s="96"/>
      <c r="D68" s="96"/>
      <c r="E68" s="96"/>
      <c r="F68" s="96"/>
      <c r="G68" s="17"/>
      <c r="H68" s="17"/>
      <c r="I68" s="17"/>
      <c r="J68" s="17"/>
      <c r="K68" s="17"/>
      <c r="M68" s="68"/>
      <c r="N68" s="70"/>
    </row>
    <row r="69" spans="1:14" x14ac:dyDescent="0.3">
      <c r="A69" s="96" t="s">
        <v>51</v>
      </c>
      <c r="B69" s="96"/>
      <c r="C69" s="96"/>
      <c r="D69" s="96"/>
      <c r="E69" s="96"/>
      <c r="F69" s="96"/>
      <c r="G69" s="17"/>
      <c r="H69" s="17"/>
      <c r="I69" s="17"/>
      <c r="J69" s="17"/>
      <c r="K69" s="17"/>
      <c r="M69" s="68"/>
      <c r="N69" s="70"/>
    </row>
    <row r="70" spans="1:14" x14ac:dyDescent="0.3">
      <c r="A70" s="96" t="s">
        <v>52</v>
      </c>
      <c r="B70" s="96"/>
      <c r="C70" s="96"/>
      <c r="D70" s="96"/>
      <c r="E70" s="96"/>
      <c r="F70" s="96"/>
      <c r="G70" s="17"/>
      <c r="H70" s="17"/>
      <c r="I70" s="17"/>
      <c r="J70" s="17"/>
      <c r="K70" s="17"/>
      <c r="M70" s="68"/>
      <c r="N70" s="70"/>
    </row>
    <row r="71" spans="1:14" x14ac:dyDescent="0.3">
      <c r="A71" s="96" t="s">
        <v>53</v>
      </c>
      <c r="B71" s="96"/>
      <c r="C71" s="96"/>
      <c r="D71" s="96"/>
      <c r="E71" s="96"/>
      <c r="F71" s="96"/>
      <c r="G71" s="17"/>
      <c r="H71" s="17"/>
      <c r="I71" s="17"/>
      <c r="J71" s="17"/>
      <c r="K71" s="17"/>
      <c r="M71" s="68"/>
      <c r="N71" s="70"/>
    </row>
    <row r="72" spans="1:14" x14ac:dyDescent="0.3">
      <c r="A72" s="96" t="s">
        <v>54</v>
      </c>
      <c r="B72" s="96"/>
      <c r="C72" s="96"/>
      <c r="D72" s="96"/>
      <c r="E72" s="96"/>
      <c r="F72" s="96"/>
      <c r="G72" s="17"/>
      <c r="H72" s="17"/>
      <c r="I72" s="17"/>
      <c r="J72" s="17"/>
      <c r="K72" s="17"/>
      <c r="M72" s="68"/>
      <c r="N72" s="70"/>
    </row>
    <row r="73" spans="1:14" x14ac:dyDescent="0.3">
      <c r="A73" s="95" t="s">
        <v>55</v>
      </c>
      <c r="B73" s="95"/>
      <c r="C73" s="95"/>
      <c r="D73" s="95"/>
      <c r="E73" s="95"/>
      <c r="F73" s="95"/>
      <c r="G73" s="14">
        <f>G78+G79</f>
        <v>244.31956</v>
      </c>
      <c r="H73" s="14">
        <f t="shared" ref="H73:K73" si="13">H78+H79</f>
        <v>235.89776000000001</v>
      </c>
      <c r="I73" s="14">
        <f t="shared" si="13"/>
        <v>199.851</v>
      </c>
      <c r="J73" s="14">
        <f t="shared" si="13"/>
        <v>225.70128</v>
      </c>
      <c r="K73" s="14">
        <f t="shared" si="13"/>
        <v>191.6404</v>
      </c>
      <c r="M73" s="68"/>
      <c r="N73" s="70"/>
    </row>
    <row r="74" spans="1:14" hidden="1" x14ac:dyDescent="0.3">
      <c r="A74" s="96" t="s">
        <v>56</v>
      </c>
      <c r="B74" s="96"/>
      <c r="C74" s="96"/>
      <c r="D74" s="96"/>
      <c r="E74" s="96"/>
      <c r="F74" s="96"/>
      <c r="G74" s="17"/>
      <c r="H74" s="17"/>
      <c r="I74" s="17"/>
      <c r="J74" s="17"/>
      <c r="K74" s="17"/>
      <c r="M74" s="68"/>
      <c r="N74" s="70"/>
    </row>
    <row r="75" spans="1:14" hidden="1" x14ac:dyDescent="0.3">
      <c r="A75" s="96" t="s">
        <v>57</v>
      </c>
      <c r="B75" s="96"/>
      <c r="C75" s="96"/>
      <c r="D75" s="96"/>
      <c r="E75" s="96"/>
      <c r="F75" s="96"/>
      <c r="G75" s="17"/>
      <c r="H75" s="17"/>
      <c r="I75" s="17"/>
      <c r="J75" s="17"/>
      <c r="K75" s="17"/>
      <c r="M75" s="68"/>
      <c r="N75" s="70"/>
    </row>
    <row r="76" spans="1:14" hidden="1" x14ac:dyDescent="0.3">
      <c r="A76" s="96" t="s">
        <v>58</v>
      </c>
      <c r="B76" s="96"/>
      <c r="C76" s="96"/>
      <c r="D76" s="96"/>
      <c r="E76" s="96"/>
      <c r="F76" s="96"/>
      <c r="G76" s="17"/>
      <c r="H76" s="17"/>
      <c r="I76" s="17"/>
      <c r="J76" s="17"/>
      <c r="K76" s="17"/>
      <c r="M76" s="68"/>
      <c r="N76" s="70"/>
    </row>
    <row r="77" spans="1:14" hidden="1" x14ac:dyDescent="0.3">
      <c r="A77" s="96" t="s">
        <v>59</v>
      </c>
      <c r="B77" s="96"/>
      <c r="C77" s="96"/>
      <c r="D77" s="96"/>
      <c r="E77" s="96"/>
      <c r="F77" s="96"/>
      <c r="G77" s="17"/>
      <c r="H77" s="17"/>
      <c r="I77" s="17"/>
      <c r="J77" s="17"/>
      <c r="K77" s="17"/>
      <c r="M77" s="68"/>
      <c r="N77" s="70"/>
    </row>
    <row r="78" spans="1:14" x14ac:dyDescent="0.3">
      <c r="A78" s="96" t="s">
        <v>60</v>
      </c>
      <c r="B78" s="96"/>
      <c r="C78" s="96"/>
      <c r="D78" s="96"/>
      <c r="E78" s="96"/>
      <c r="F78" s="96"/>
      <c r="G78" s="17">
        <v>29.550039999999999</v>
      </c>
      <c r="H78" s="17">
        <v>28.880280000000003</v>
      </c>
      <c r="I78" s="17">
        <v>19.507280000000002</v>
      </c>
      <c r="J78" s="17">
        <v>22.197760000000002</v>
      </c>
      <c r="K78" s="17">
        <v>18.768360000000001</v>
      </c>
      <c r="M78" s="68"/>
      <c r="N78" s="70"/>
    </row>
    <row r="79" spans="1:14" x14ac:dyDescent="0.3">
      <c r="A79" s="96" t="s">
        <v>61</v>
      </c>
      <c r="B79" s="96"/>
      <c r="C79" s="96"/>
      <c r="D79" s="96"/>
      <c r="E79" s="96"/>
      <c r="F79" s="96"/>
      <c r="G79" s="17">
        <v>214.76952</v>
      </c>
      <c r="H79" s="17">
        <v>207.01748000000001</v>
      </c>
      <c r="I79" s="17">
        <v>180.34371999999999</v>
      </c>
      <c r="J79" s="17">
        <v>203.50351999999998</v>
      </c>
      <c r="K79" s="17">
        <v>172.87204</v>
      </c>
      <c r="M79" s="69"/>
      <c r="N79" s="70"/>
    </row>
    <row r="80" spans="1:14" hidden="1" x14ac:dyDescent="0.3">
      <c r="A80" s="96" t="s">
        <v>62</v>
      </c>
      <c r="B80" s="96"/>
      <c r="C80" s="96"/>
      <c r="D80" s="96"/>
      <c r="E80" s="96"/>
      <c r="F80" s="96"/>
      <c r="G80" s="17"/>
      <c r="H80" s="17"/>
      <c r="I80" s="17"/>
      <c r="J80" s="17"/>
      <c r="K80" s="17"/>
      <c r="M80" s="69"/>
      <c r="N80" s="70"/>
    </row>
    <row r="81" spans="1:14" hidden="1" x14ac:dyDescent="0.3">
      <c r="A81" s="95" t="s">
        <v>63</v>
      </c>
      <c r="B81" s="95"/>
      <c r="C81" s="95"/>
      <c r="D81" s="95"/>
      <c r="E81" s="95"/>
      <c r="F81" s="95"/>
      <c r="G81" s="14"/>
      <c r="H81" s="14"/>
      <c r="I81" s="14"/>
      <c r="J81" s="14"/>
      <c r="K81" s="14"/>
      <c r="M81" s="69"/>
      <c r="N81" s="70"/>
    </row>
    <row r="82" spans="1:14" hidden="1" x14ac:dyDescent="0.3">
      <c r="A82" s="96" t="s">
        <v>64</v>
      </c>
      <c r="B82" s="96"/>
      <c r="C82" s="96"/>
      <c r="D82" s="96"/>
      <c r="E82" s="96"/>
      <c r="F82" s="96"/>
      <c r="G82" s="17"/>
      <c r="H82" s="17"/>
      <c r="I82" s="17"/>
      <c r="J82" s="17"/>
      <c r="K82" s="17"/>
      <c r="M82" s="69"/>
      <c r="N82" s="70"/>
    </row>
    <row r="83" spans="1:14" hidden="1" x14ac:dyDescent="0.3">
      <c r="A83" s="96" t="s">
        <v>65</v>
      </c>
      <c r="B83" s="96"/>
      <c r="C83" s="96"/>
      <c r="D83" s="96"/>
      <c r="E83" s="96"/>
      <c r="F83" s="96"/>
      <c r="G83" s="17"/>
      <c r="H83" s="17"/>
      <c r="I83" s="17"/>
      <c r="J83" s="17"/>
      <c r="K83" s="17"/>
      <c r="M83" s="69"/>
      <c r="N83" s="70"/>
    </row>
    <row r="84" spans="1:14" hidden="1" x14ac:dyDescent="0.3">
      <c r="A84" s="96" t="s">
        <v>66</v>
      </c>
      <c r="B84" s="96"/>
      <c r="C84" s="96"/>
      <c r="D84" s="96"/>
      <c r="E84" s="96"/>
      <c r="F84" s="96"/>
      <c r="G84" s="17"/>
      <c r="H84" s="17"/>
      <c r="I84" s="17"/>
      <c r="J84" s="17"/>
      <c r="K84" s="17"/>
      <c r="M84" s="69"/>
      <c r="N84" s="70"/>
    </row>
    <row r="85" spans="1:14" hidden="1" x14ac:dyDescent="0.3">
      <c r="A85" s="96" t="s">
        <v>67</v>
      </c>
      <c r="B85" s="96"/>
      <c r="C85" s="96"/>
      <c r="D85" s="96"/>
      <c r="E85" s="96"/>
      <c r="F85" s="96"/>
      <c r="G85" s="17"/>
      <c r="H85" s="17"/>
      <c r="I85" s="17"/>
      <c r="J85" s="17"/>
      <c r="K85" s="17"/>
      <c r="M85" s="69"/>
      <c r="N85" s="70"/>
    </row>
    <row r="86" spans="1:14" hidden="1" x14ac:dyDescent="0.3">
      <c r="A86" s="95" t="s">
        <v>68</v>
      </c>
      <c r="B86" s="95"/>
      <c r="C86" s="95"/>
      <c r="D86" s="95"/>
      <c r="E86" s="95"/>
      <c r="F86" s="95"/>
      <c r="G86" s="14"/>
      <c r="H86" s="14"/>
      <c r="I86" s="14"/>
      <c r="J86" s="14"/>
      <c r="K86" s="14"/>
      <c r="M86" s="69"/>
      <c r="N86" s="70"/>
    </row>
    <row r="87" spans="1:14" hidden="1" x14ac:dyDescent="0.3">
      <c r="A87" s="96" t="s">
        <v>69</v>
      </c>
      <c r="B87" s="96"/>
      <c r="C87" s="96"/>
      <c r="D87" s="96"/>
      <c r="E87" s="96"/>
      <c r="F87" s="96"/>
      <c r="G87" s="17"/>
      <c r="H87" s="17"/>
      <c r="I87" s="17"/>
      <c r="J87" s="17"/>
      <c r="K87" s="17"/>
      <c r="M87" s="69"/>
      <c r="N87" s="70"/>
    </row>
    <row r="88" spans="1:14" hidden="1" x14ac:dyDescent="0.3">
      <c r="A88" s="96" t="s">
        <v>70</v>
      </c>
      <c r="B88" s="96"/>
      <c r="C88" s="96"/>
      <c r="D88" s="96"/>
      <c r="E88" s="96"/>
      <c r="F88" s="96"/>
      <c r="G88" s="17"/>
      <c r="H88" s="17"/>
      <c r="I88" s="17"/>
      <c r="J88" s="17"/>
      <c r="K88" s="17"/>
      <c r="M88" s="69"/>
      <c r="N88" s="70"/>
    </row>
    <row r="89" spans="1:14" hidden="1" x14ac:dyDescent="0.3">
      <c r="A89" s="96" t="s">
        <v>71</v>
      </c>
      <c r="B89" s="96"/>
      <c r="C89" s="96"/>
      <c r="D89" s="96"/>
      <c r="E89" s="96"/>
      <c r="F89" s="96"/>
      <c r="G89" s="17"/>
      <c r="H89" s="17"/>
      <c r="I89" s="17"/>
      <c r="J89" s="17"/>
      <c r="K89" s="17"/>
      <c r="M89" s="69"/>
      <c r="N89" s="70"/>
    </row>
    <row r="90" spans="1:14" hidden="1" x14ac:dyDescent="0.3">
      <c r="A90" s="96" t="s">
        <v>72</v>
      </c>
      <c r="B90" s="96"/>
      <c r="C90" s="96"/>
      <c r="D90" s="96"/>
      <c r="E90" s="96"/>
      <c r="F90" s="96"/>
      <c r="G90" s="17"/>
      <c r="H90" s="17"/>
      <c r="I90" s="17"/>
      <c r="J90" s="17"/>
      <c r="K90" s="17"/>
      <c r="M90" s="69"/>
      <c r="N90" s="70"/>
    </row>
    <row r="91" spans="1:14" hidden="1" x14ac:dyDescent="0.3">
      <c r="A91" s="96" t="s">
        <v>73</v>
      </c>
      <c r="B91" s="96"/>
      <c r="C91" s="96"/>
      <c r="D91" s="96"/>
      <c r="E91" s="96"/>
      <c r="F91" s="96"/>
      <c r="G91" s="17"/>
      <c r="H91" s="17"/>
      <c r="I91" s="17"/>
      <c r="J91" s="17"/>
      <c r="K91" s="17"/>
      <c r="M91" s="69"/>
      <c r="N91" s="70"/>
    </row>
    <row r="92" spans="1:14" hidden="1" x14ac:dyDescent="0.3">
      <c r="A92" s="95" t="s">
        <v>74</v>
      </c>
      <c r="B92" s="95"/>
      <c r="C92" s="95"/>
      <c r="D92" s="95"/>
      <c r="E92" s="95"/>
      <c r="F92" s="95"/>
      <c r="G92" s="14"/>
      <c r="H92" s="14"/>
      <c r="I92" s="14"/>
      <c r="J92" s="14"/>
      <c r="K92" s="14"/>
      <c r="M92" s="69"/>
      <c r="N92" s="70"/>
    </row>
    <row r="93" spans="1:14" hidden="1" x14ac:dyDescent="0.3">
      <c r="A93" s="96" t="s">
        <v>75</v>
      </c>
      <c r="B93" s="96"/>
      <c r="C93" s="96"/>
      <c r="D93" s="96"/>
      <c r="E93" s="96"/>
      <c r="F93" s="96"/>
      <c r="G93" s="17"/>
      <c r="H93" s="17"/>
      <c r="I93" s="17"/>
      <c r="J93" s="17"/>
      <c r="K93" s="17"/>
      <c r="M93" s="69"/>
      <c r="N93" s="70"/>
    </row>
    <row r="94" spans="1:14" hidden="1" x14ac:dyDescent="0.3">
      <c r="A94" s="96" t="s">
        <v>76</v>
      </c>
      <c r="B94" s="96"/>
      <c r="C94" s="96"/>
      <c r="D94" s="96"/>
      <c r="E94" s="96"/>
      <c r="F94" s="96"/>
      <c r="G94" s="17"/>
      <c r="H94" s="17"/>
      <c r="I94" s="17"/>
      <c r="J94" s="17"/>
      <c r="K94" s="17"/>
      <c r="M94" s="69"/>
      <c r="N94" s="70"/>
    </row>
    <row r="95" spans="1:14" hidden="1" x14ac:dyDescent="0.3">
      <c r="A95" s="96" t="s">
        <v>77</v>
      </c>
      <c r="B95" s="96"/>
      <c r="C95" s="96"/>
      <c r="D95" s="96"/>
      <c r="E95" s="96"/>
      <c r="F95" s="96"/>
      <c r="G95" s="17"/>
      <c r="H95" s="17"/>
      <c r="I95" s="17"/>
      <c r="J95" s="17"/>
      <c r="K95" s="17"/>
      <c r="M95" s="69"/>
      <c r="N95" s="70"/>
    </row>
    <row r="96" spans="1:14" hidden="1" x14ac:dyDescent="0.3">
      <c r="A96" s="96" t="s">
        <v>78</v>
      </c>
      <c r="B96" s="96"/>
      <c r="C96" s="96"/>
      <c r="D96" s="96"/>
      <c r="E96" s="96"/>
      <c r="F96" s="96"/>
      <c r="G96" s="17"/>
      <c r="H96" s="17"/>
      <c r="I96" s="17"/>
      <c r="J96" s="17"/>
      <c r="K96" s="17"/>
      <c r="M96" s="69"/>
      <c r="N96" s="70"/>
    </row>
    <row r="97" spans="1:21" hidden="1" x14ac:dyDescent="0.3">
      <c r="A97" s="96" t="s">
        <v>79</v>
      </c>
      <c r="B97" s="96"/>
      <c r="C97" s="96"/>
      <c r="D97" s="96"/>
      <c r="E97" s="96"/>
      <c r="F97" s="96"/>
      <c r="G97" s="17"/>
      <c r="H97" s="17"/>
      <c r="I97" s="17"/>
      <c r="J97" s="17"/>
      <c r="K97" s="17"/>
      <c r="M97" s="69"/>
      <c r="N97" s="70"/>
    </row>
    <row r="98" spans="1:21" hidden="1" x14ac:dyDescent="0.3">
      <c r="A98" s="96" t="s">
        <v>80</v>
      </c>
      <c r="B98" s="96"/>
      <c r="C98" s="96"/>
      <c r="D98" s="96"/>
      <c r="E98" s="96"/>
      <c r="F98" s="96"/>
      <c r="G98" s="17"/>
      <c r="H98" s="17"/>
      <c r="I98" s="17"/>
      <c r="J98" s="17"/>
      <c r="K98" s="17"/>
      <c r="M98" s="69"/>
      <c r="N98" s="70"/>
    </row>
    <row r="99" spans="1:21" hidden="1" x14ac:dyDescent="0.3">
      <c r="A99" s="95" t="s">
        <v>81</v>
      </c>
      <c r="B99" s="95"/>
      <c r="C99" s="95"/>
      <c r="D99" s="95"/>
      <c r="E99" s="95"/>
      <c r="F99" s="95"/>
      <c r="G99" s="14"/>
      <c r="H99" s="14"/>
      <c r="I99" s="14"/>
      <c r="J99" s="14"/>
      <c r="K99" s="14"/>
      <c r="M99" s="69"/>
      <c r="N99" s="70"/>
    </row>
    <row r="100" spans="1:21" hidden="1" x14ac:dyDescent="0.3">
      <c r="A100" s="96" t="s">
        <v>82</v>
      </c>
      <c r="B100" s="96"/>
      <c r="C100" s="96"/>
      <c r="D100" s="96"/>
      <c r="E100" s="96"/>
      <c r="F100" s="96"/>
      <c r="G100" s="17"/>
      <c r="H100" s="17"/>
      <c r="I100" s="17"/>
      <c r="J100" s="17"/>
      <c r="K100" s="17"/>
      <c r="M100" s="69"/>
      <c r="N100" s="70"/>
    </row>
    <row r="101" spans="1:21" hidden="1" x14ac:dyDescent="0.3">
      <c r="A101" s="96" t="s">
        <v>83</v>
      </c>
      <c r="B101" s="96"/>
      <c r="C101" s="96"/>
      <c r="D101" s="96"/>
      <c r="E101" s="96"/>
      <c r="F101" s="96"/>
      <c r="G101" s="17"/>
      <c r="H101" s="17"/>
      <c r="I101" s="17"/>
      <c r="J101" s="17"/>
      <c r="K101" s="17"/>
      <c r="M101" s="69"/>
      <c r="N101" s="70"/>
    </row>
    <row r="102" spans="1:21" hidden="1" x14ac:dyDescent="0.3">
      <c r="A102" s="96" t="s">
        <v>84</v>
      </c>
      <c r="B102" s="96"/>
      <c r="C102" s="96"/>
      <c r="D102" s="96"/>
      <c r="E102" s="96"/>
      <c r="F102" s="96"/>
      <c r="G102" s="17"/>
      <c r="H102" s="17"/>
      <c r="I102" s="17"/>
      <c r="J102" s="17"/>
      <c r="K102" s="17"/>
      <c r="M102" s="69"/>
      <c r="N102" s="70"/>
    </row>
    <row r="103" spans="1:21" hidden="1" x14ac:dyDescent="0.3">
      <c r="A103" s="96" t="s">
        <v>85</v>
      </c>
      <c r="B103" s="96"/>
      <c r="C103" s="96"/>
      <c r="D103" s="96"/>
      <c r="E103" s="96"/>
      <c r="F103" s="96"/>
      <c r="G103" s="17"/>
      <c r="H103" s="17"/>
      <c r="I103" s="17"/>
      <c r="J103" s="17"/>
      <c r="K103" s="17"/>
      <c r="M103" s="69"/>
      <c r="N103" s="70"/>
    </row>
    <row r="104" spans="1:21" hidden="1" x14ac:dyDescent="0.3">
      <c r="A104" s="95" t="s">
        <v>86</v>
      </c>
      <c r="B104" s="95"/>
      <c r="C104" s="95"/>
      <c r="D104" s="95"/>
      <c r="E104" s="95"/>
      <c r="F104" s="95"/>
      <c r="G104" s="14"/>
      <c r="H104" s="14"/>
      <c r="I104" s="14"/>
      <c r="J104" s="14"/>
      <c r="K104" s="14"/>
      <c r="M104" s="69"/>
      <c r="N104" s="70"/>
    </row>
    <row r="105" spans="1:21" hidden="1" x14ac:dyDescent="0.3">
      <c r="A105" s="96" t="s">
        <v>87</v>
      </c>
      <c r="B105" s="96"/>
      <c r="C105" s="96"/>
      <c r="D105" s="96"/>
      <c r="E105" s="96"/>
      <c r="F105" s="96"/>
      <c r="G105" s="17"/>
      <c r="H105" s="17"/>
      <c r="I105" s="17"/>
      <c r="J105" s="17"/>
      <c r="K105" s="17"/>
      <c r="M105" s="69"/>
      <c r="N105" s="70"/>
    </row>
    <row r="106" spans="1:21" hidden="1" x14ac:dyDescent="0.3">
      <c r="A106" s="96" t="s">
        <v>88</v>
      </c>
      <c r="B106" s="96"/>
      <c r="C106" s="96"/>
      <c r="D106" s="96"/>
      <c r="E106" s="96"/>
      <c r="F106" s="96"/>
      <c r="G106" s="17"/>
      <c r="H106" s="17"/>
      <c r="I106" s="17"/>
      <c r="J106" s="17"/>
      <c r="K106" s="17"/>
      <c r="M106" s="69"/>
      <c r="N106" s="70"/>
    </row>
    <row r="107" spans="1:21" hidden="1" x14ac:dyDescent="0.3">
      <c r="A107" s="96" t="s">
        <v>89</v>
      </c>
      <c r="B107" s="96"/>
      <c r="C107" s="96"/>
      <c r="D107" s="96"/>
      <c r="E107" s="96"/>
      <c r="F107" s="96"/>
      <c r="G107" s="17"/>
      <c r="H107" s="17"/>
      <c r="I107" s="17"/>
      <c r="J107" s="17"/>
      <c r="K107" s="17"/>
      <c r="M107" s="69"/>
      <c r="N107" s="70"/>
    </row>
    <row r="108" spans="1:21" ht="15.6" x14ac:dyDescent="0.3">
      <c r="A108" s="98" t="s">
        <v>90</v>
      </c>
      <c r="B108" s="98"/>
      <c r="C108" s="98"/>
      <c r="D108" s="98"/>
      <c r="E108" s="98"/>
      <c r="F108" s="99"/>
      <c r="G108" s="13">
        <f>G109+G131+G150</f>
        <v>-2849.9927626588274</v>
      </c>
      <c r="H108" s="13">
        <f t="shared" ref="H108:K108" si="14">H109+H131+H150</f>
        <v>-2734.5354323119786</v>
      </c>
      <c r="I108" s="13">
        <f t="shared" si="14"/>
        <v>-2574.0352890874278</v>
      </c>
      <c r="J108" s="13">
        <f t="shared" si="14"/>
        <v>-1231.8437412595999</v>
      </c>
      <c r="K108" s="13">
        <f t="shared" si="14"/>
        <v>-870.81244573011827</v>
      </c>
      <c r="M108" s="69"/>
      <c r="N108" s="70"/>
    </row>
    <row r="109" spans="1:21" x14ac:dyDescent="0.3">
      <c r="A109" s="95" t="s">
        <v>91</v>
      </c>
      <c r="B109" s="95"/>
      <c r="C109" s="95"/>
      <c r="D109" s="95"/>
      <c r="E109" s="95"/>
      <c r="F109" s="95"/>
      <c r="G109" s="14">
        <f>G110+G120</f>
        <v>7516.7164350902303</v>
      </c>
      <c r="H109" s="14">
        <f t="shared" ref="H109:K109" si="15">H110+H120</f>
        <v>7583.2876717706567</v>
      </c>
      <c r="I109" s="14">
        <f t="shared" si="15"/>
        <v>7907.5949442675555</v>
      </c>
      <c r="J109" s="14">
        <f t="shared" si="15"/>
        <v>8910.0788705526593</v>
      </c>
      <c r="K109" s="14">
        <f t="shared" si="15"/>
        <v>9218.2190274270561</v>
      </c>
      <c r="M109" s="69"/>
      <c r="N109" s="70"/>
    </row>
    <row r="110" spans="1:21" x14ac:dyDescent="0.3">
      <c r="A110" s="96" t="s">
        <v>92</v>
      </c>
      <c r="B110" s="96"/>
      <c r="C110" s="96"/>
      <c r="D110" s="96"/>
      <c r="E110" s="96"/>
      <c r="F110" s="96"/>
      <c r="G110" s="17">
        <f>SUM(G111:G118)</f>
        <v>3359.7063463012</v>
      </c>
      <c r="H110" s="17">
        <f t="shared" ref="H110:K110" si="16">SUM(H111:H118)</f>
        <v>3435.8824042787996</v>
      </c>
      <c r="I110" s="17">
        <f t="shared" si="16"/>
        <v>3599.2854614528001</v>
      </c>
      <c r="J110" s="17">
        <f t="shared" si="16"/>
        <v>3979.8496345103999</v>
      </c>
      <c r="K110" s="17">
        <f t="shared" si="16"/>
        <v>4079.8617956040007</v>
      </c>
      <c r="M110" s="69"/>
      <c r="N110" s="70"/>
    </row>
    <row r="111" spans="1:21" x14ac:dyDescent="0.3">
      <c r="A111" s="100" t="s">
        <v>93</v>
      </c>
      <c r="B111" s="100"/>
      <c r="C111" s="100"/>
      <c r="D111" s="100"/>
      <c r="E111" s="100"/>
      <c r="F111" s="100"/>
      <c r="G111" s="18">
        <f>665.898537528+2571.1213007732</f>
        <v>3237.0198383011998</v>
      </c>
      <c r="H111" s="18">
        <f>696.52942128+2619.3807949988</f>
        <v>3315.9102162787999</v>
      </c>
      <c r="I111" s="18">
        <f>712.687335024+2766.4545014288</f>
        <v>3479.1418364527999</v>
      </c>
      <c r="J111" s="18">
        <f>710.32118892+3150.1969010904</f>
        <v>3860.5180900104001</v>
      </c>
      <c r="K111" s="18">
        <f>734.785126992+3225.341330862</f>
        <v>3960.1264578540004</v>
      </c>
      <c r="L111" s="39"/>
      <c r="M111" s="69">
        <f>AVERAGE(G111:K111)</f>
        <v>3570.5432877794401</v>
      </c>
      <c r="N111" s="70">
        <f>M111/$M$14</f>
        <v>0.1181113481512458</v>
      </c>
      <c r="O111" s="39"/>
      <c r="P111" s="39"/>
      <c r="Q111" s="40"/>
      <c r="R111" s="39"/>
      <c r="S111" s="39"/>
      <c r="T111" s="39"/>
      <c r="U111" s="39"/>
    </row>
    <row r="112" spans="1:21" x14ac:dyDescent="0.3">
      <c r="A112" s="100" t="s">
        <v>94</v>
      </c>
      <c r="B112" s="100"/>
      <c r="C112" s="100"/>
      <c r="D112" s="100"/>
      <c r="E112" s="100"/>
      <c r="F112" s="100"/>
      <c r="G112" s="18"/>
      <c r="H112" s="18"/>
      <c r="I112" s="18"/>
      <c r="J112" s="18"/>
      <c r="K112" s="18"/>
      <c r="M112" s="69"/>
      <c r="N112" s="70"/>
    </row>
    <row r="113" spans="1:17" x14ac:dyDescent="0.3">
      <c r="A113" s="100" t="s">
        <v>95</v>
      </c>
      <c r="B113" s="100"/>
      <c r="C113" s="100"/>
      <c r="D113" s="100"/>
      <c r="E113" s="100"/>
      <c r="F113" s="100"/>
      <c r="G113" s="18">
        <v>25.926039999999997</v>
      </c>
      <c r="H113" s="18">
        <v>26.621559999999999</v>
      </c>
      <c r="I113" s="18">
        <v>26.02628</v>
      </c>
      <c r="J113" s="18">
        <v>26.003740000000001</v>
      </c>
      <c r="K113" s="18">
        <v>26.260499999999997</v>
      </c>
      <c r="M113" s="69"/>
      <c r="N113" s="70"/>
    </row>
    <row r="114" spans="1:17" x14ac:dyDescent="0.3">
      <c r="A114" s="100" t="s">
        <v>96</v>
      </c>
      <c r="B114" s="100"/>
      <c r="C114" s="100"/>
      <c r="D114" s="100"/>
      <c r="E114" s="100"/>
      <c r="F114" s="100"/>
      <c r="G114" s="18">
        <v>21.499659999999999</v>
      </c>
      <c r="H114" s="18">
        <v>21.545999999999999</v>
      </c>
      <c r="I114" s="18">
        <v>21.3325</v>
      </c>
      <c r="J114" s="18">
        <v>21.224139999999998</v>
      </c>
      <c r="K114" s="18">
        <v>20.977599999999999</v>
      </c>
      <c r="M114" s="69"/>
      <c r="N114" s="70"/>
    </row>
    <row r="115" spans="1:17" x14ac:dyDescent="0.3">
      <c r="A115" s="100" t="s">
        <v>97</v>
      </c>
      <c r="B115" s="100"/>
      <c r="C115" s="100"/>
      <c r="D115" s="100"/>
      <c r="E115" s="100"/>
      <c r="F115" s="100"/>
      <c r="G115" s="18"/>
      <c r="H115" s="18"/>
      <c r="I115" s="18"/>
      <c r="J115" s="18"/>
      <c r="K115" s="18"/>
      <c r="M115" s="69"/>
      <c r="N115" s="70"/>
    </row>
    <row r="116" spans="1:17" x14ac:dyDescent="0.3">
      <c r="A116" s="100" t="s">
        <v>98</v>
      </c>
      <c r="B116" s="100"/>
      <c r="C116" s="100"/>
      <c r="D116" s="100"/>
      <c r="E116" s="100"/>
      <c r="F116" s="100"/>
      <c r="G116" s="18">
        <v>32.829551999999993</v>
      </c>
      <c r="H116" s="18">
        <v>32.186952000000005</v>
      </c>
      <c r="I116" s="18">
        <v>32.508251999999999</v>
      </c>
      <c r="J116" s="18">
        <v>32.347602000000002</v>
      </c>
      <c r="K116" s="18">
        <v>32.427926999999997</v>
      </c>
      <c r="M116" s="69"/>
      <c r="N116" s="70"/>
    </row>
    <row r="117" spans="1:17" x14ac:dyDescent="0.3">
      <c r="A117" s="100" t="s">
        <v>99</v>
      </c>
      <c r="B117" s="100"/>
      <c r="C117" s="100"/>
      <c r="D117" s="100"/>
      <c r="E117" s="100"/>
      <c r="F117" s="100"/>
      <c r="G117" s="18">
        <f>1.29094+32.816</f>
        <v>34.106940000000002</v>
      </c>
      <c r="H117" s="18">
        <f>1.18937+32.2</f>
        <v>33.38937</v>
      </c>
      <c r="I117" s="18">
        <f>1.240155+32.508</f>
        <v>33.748155000000004</v>
      </c>
      <c r="J117" s="18">
        <f>1.2147625+32.34</f>
        <v>33.554762500000002</v>
      </c>
      <c r="K117" s="18">
        <f>1.22745875+32.424</f>
        <v>33.651458749999996</v>
      </c>
      <c r="M117" s="69"/>
      <c r="N117" s="70"/>
    </row>
    <row r="118" spans="1:17" x14ac:dyDescent="0.3">
      <c r="A118" s="100" t="s">
        <v>100</v>
      </c>
      <c r="B118" s="100"/>
      <c r="C118" s="100"/>
      <c r="D118" s="100"/>
      <c r="E118" s="100"/>
      <c r="F118" s="100"/>
      <c r="G118" s="18">
        <v>8.3243159999999996</v>
      </c>
      <c r="H118" s="18">
        <v>6.2283059999999999</v>
      </c>
      <c r="I118" s="18">
        <v>6.5284379999999986</v>
      </c>
      <c r="J118" s="18">
        <v>6.2012999999999998</v>
      </c>
      <c r="K118" s="18">
        <v>6.4178519999999999</v>
      </c>
      <c r="M118" s="69"/>
      <c r="N118" s="70"/>
    </row>
    <row r="119" spans="1:17" x14ac:dyDescent="0.3">
      <c r="A119" s="100" t="s">
        <v>101</v>
      </c>
      <c r="B119" s="100"/>
      <c r="C119" s="100"/>
      <c r="D119" s="100"/>
      <c r="E119" s="100"/>
      <c r="F119" s="100"/>
      <c r="G119" s="16"/>
      <c r="H119" s="16"/>
      <c r="I119" s="16"/>
      <c r="J119" s="16"/>
      <c r="K119" s="16"/>
      <c r="M119" s="69"/>
      <c r="N119" s="70"/>
    </row>
    <row r="120" spans="1:17" x14ac:dyDescent="0.3">
      <c r="A120" s="96" t="s">
        <v>102</v>
      </c>
      <c r="B120" s="96"/>
      <c r="C120" s="96"/>
      <c r="D120" s="96"/>
      <c r="E120" s="96"/>
      <c r="F120" s="96"/>
      <c r="G120" s="17">
        <f>SUM(G121:G129)</f>
        <v>4157.0100887890303</v>
      </c>
      <c r="H120" s="17">
        <f t="shared" ref="H120:K120" si="17">SUM(H121:H129)</f>
        <v>4147.4052674918576</v>
      </c>
      <c r="I120" s="17">
        <f t="shared" si="17"/>
        <v>4308.3094828147559</v>
      </c>
      <c r="J120" s="17">
        <f t="shared" si="17"/>
        <v>4930.2292360422589</v>
      </c>
      <c r="K120" s="17">
        <f t="shared" si="17"/>
        <v>5138.3572318230554</v>
      </c>
      <c r="M120" s="69"/>
      <c r="N120" s="70"/>
    </row>
    <row r="121" spans="1:17" x14ac:dyDescent="0.3">
      <c r="A121" s="100" t="s">
        <v>103</v>
      </c>
      <c r="B121" s="100"/>
      <c r="C121" s="100"/>
      <c r="D121" s="100"/>
      <c r="E121" s="100"/>
      <c r="F121" s="100"/>
      <c r="G121" s="18">
        <f>513.727021189454+3086.61413121863</f>
        <v>3600.3411524080839</v>
      </c>
      <c r="H121" s="18">
        <f>539.720192106257+3144.54933513041</f>
        <v>3684.2695272366668</v>
      </c>
      <c r="I121" s="18">
        <f>555.576417195931+3262.06358248384</f>
        <v>3817.6399996797709</v>
      </c>
      <c r="J121" s="18">
        <f>584.597813860607+3839.09608201681</f>
        <v>4423.6938958774172</v>
      </c>
      <c r="K121" s="18">
        <f>613.352690758111+3992.00567719057</f>
        <v>4605.358367948681</v>
      </c>
      <c r="L121" s="39"/>
      <c r="M121" s="69">
        <f>AVERAGE(G121:K121)</f>
        <v>4026.2605886301244</v>
      </c>
      <c r="N121" s="70">
        <f>M121/$M$14</f>
        <v>0.13318619263318898</v>
      </c>
      <c r="O121" s="39"/>
      <c r="P121" s="39"/>
      <c r="Q121" s="40"/>
    </row>
    <row r="122" spans="1:17" x14ac:dyDescent="0.3">
      <c r="A122" s="100" t="s">
        <v>104</v>
      </c>
      <c r="B122" s="100"/>
      <c r="C122" s="100"/>
      <c r="D122" s="100"/>
      <c r="E122" s="100"/>
      <c r="F122" s="100"/>
      <c r="G122" s="18"/>
      <c r="H122" s="18"/>
      <c r="I122" s="18"/>
      <c r="J122" s="18"/>
      <c r="K122" s="18"/>
      <c r="M122" s="69"/>
      <c r="N122" s="70"/>
    </row>
    <row r="123" spans="1:17" x14ac:dyDescent="0.3">
      <c r="A123" s="100" t="s">
        <v>105</v>
      </c>
      <c r="B123" s="100"/>
      <c r="C123" s="100"/>
      <c r="D123" s="100"/>
      <c r="E123" s="100"/>
      <c r="F123" s="100"/>
      <c r="G123" s="18">
        <v>31.660152466888604</v>
      </c>
      <c r="H123" s="18">
        <v>33.055971647463423</v>
      </c>
      <c r="I123" s="18">
        <v>34.224070953248166</v>
      </c>
      <c r="J123" s="18">
        <v>34.340430077848303</v>
      </c>
      <c r="K123" s="18">
        <v>34.754227179338415</v>
      </c>
      <c r="M123" s="69"/>
      <c r="N123" s="70"/>
    </row>
    <row r="124" spans="1:17" x14ac:dyDescent="0.3">
      <c r="A124" s="100" t="s">
        <v>106</v>
      </c>
      <c r="B124" s="100"/>
      <c r="C124" s="100"/>
      <c r="D124" s="100"/>
      <c r="E124" s="100"/>
      <c r="F124" s="100"/>
      <c r="G124" s="18">
        <v>29.554748148361401</v>
      </c>
      <c r="H124" s="18">
        <v>30.871935974272862</v>
      </c>
      <c r="I124" s="18">
        <v>32.375800974391097</v>
      </c>
      <c r="J124" s="18">
        <v>32.532603954386339</v>
      </c>
      <c r="K124" s="18">
        <v>32.759139142764404</v>
      </c>
      <c r="M124" s="69"/>
      <c r="N124" s="70"/>
    </row>
    <row r="125" spans="1:17" x14ac:dyDescent="0.3">
      <c r="A125" s="100" t="s">
        <v>107</v>
      </c>
      <c r="B125" s="100"/>
      <c r="C125" s="100"/>
      <c r="D125" s="100"/>
      <c r="E125" s="100"/>
      <c r="F125" s="100"/>
      <c r="G125" s="18"/>
      <c r="H125" s="18"/>
      <c r="I125" s="18"/>
      <c r="J125" s="18"/>
      <c r="K125" s="18"/>
      <c r="M125" s="68"/>
      <c r="N125" s="70"/>
    </row>
    <row r="126" spans="1:17" x14ac:dyDescent="0.3">
      <c r="A126" s="100" t="s">
        <v>108</v>
      </c>
      <c r="B126" s="100"/>
      <c r="C126" s="100"/>
      <c r="D126" s="100"/>
      <c r="E126" s="100"/>
      <c r="F126" s="100"/>
      <c r="G126" s="18">
        <v>27.837955455382399</v>
      </c>
      <c r="H126" s="18">
        <v>28.695936745596857</v>
      </c>
      <c r="I126" s="18">
        <v>30.238181881490895</v>
      </c>
      <c r="J126" s="18">
        <v>30.318824203057737</v>
      </c>
      <c r="K126" s="18">
        <v>30.127642238364402</v>
      </c>
      <c r="M126" s="68"/>
      <c r="N126" s="70"/>
    </row>
    <row r="127" spans="1:17" x14ac:dyDescent="0.3">
      <c r="A127" s="100" t="s">
        <v>109</v>
      </c>
      <c r="B127" s="100"/>
      <c r="C127" s="100"/>
      <c r="D127" s="100"/>
      <c r="E127" s="100"/>
      <c r="F127" s="100"/>
      <c r="G127" s="18">
        <v>89.274557260122293</v>
      </c>
      <c r="H127" s="18">
        <v>87.258943875855437</v>
      </c>
      <c r="I127" s="18">
        <v>96.473237003361248</v>
      </c>
      <c r="J127" s="18">
        <v>95.914263019503124</v>
      </c>
      <c r="K127" s="18">
        <v>96.193751165085104</v>
      </c>
      <c r="M127" s="68"/>
      <c r="N127" s="70"/>
    </row>
    <row r="128" spans="1:17" x14ac:dyDescent="0.3">
      <c r="A128" s="100" t="s">
        <v>110</v>
      </c>
      <c r="B128" s="100"/>
      <c r="C128" s="100"/>
      <c r="D128" s="100"/>
      <c r="E128" s="100"/>
      <c r="F128" s="100"/>
      <c r="G128" s="18">
        <v>376.37814498814066</v>
      </c>
      <c r="H128" s="18">
        <v>280.89905748748203</v>
      </c>
      <c r="I128" s="18">
        <v>294.61689804863721</v>
      </c>
      <c r="J128" s="18">
        <v>310.81561046685277</v>
      </c>
      <c r="K128" s="18">
        <v>336.77351768986881</v>
      </c>
      <c r="M128" s="68"/>
      <c r="N128" s="70"/>
    </row>
    <row r="129" spans="1:14" x14ac:dyDescent="0.3">
      <c r="A129" s="100" t="s">
        <v>111</v>
      </c>
      <c r="B129" s="100"/>
      <c r="C129" s="100"/>
      <c r="D129" s="100"/>
      <c r="E129" s="100"/>
      <c r="F129" s="100"/>
      <c r="G129" s="18">
        <v>1.9633780620509471</v>
      </c>
      <c r="H129" s="18">
        <v>2.3538945245203906</v>
      </c>
      <c r="I129" s="18">
        <v>2.7412942738564872</v>
      </c>
      <c r="J129" s="18">
        <v>2.6136084431944884</v>
      </c>
      <c r="K129" s="18">
        <v>2.3905864589538037</v>
      </c>
      <c r="M129" s="68"/>
      <c r="N129" s="70"/>
    </row>
    <row r="130" spans="1:14" x14ac:dyDescent="0.3">
      <c r="A130" s="100" t="s">
        <v>112</v>
      </c>
      <c r="B130" s="100"/>
      <c r="C130" s="100"/>
      <c r="D130" s="100"/>
      <c r="E130" s="100"/>
      <c r="F130" s="100"/>
      <c r="G130" s="16"/>
      <c r="H130" s="16"/>
      <c r="I130" s="16"/>
      <c r="J130" s="16"/>
      <c r="K130" s="16"/>
      <c r="M130" s="68"/>
      <c r="N130" s="70"/>
    </row>
    <row r="131" spans="1:14" x14ac:dyDescent="0.3">
      <c r="A131" s="95" t="s">
        <v>113</v>
      </c>
      <c r="B131" s="95"/>
      <c r="C131" s="95"/>
      <c r="D131" s="95"/>
      <c r="E131" s="95"/>
      <c r="F131" s="95"/>
      <c r="G131" s="14">
        <f>G132+G135+G138+G141+G144+G147</f>
        <v>-12741.687242413045</v>
      </c>
      <c r="H131" s="14">
        <f t="shared" ref="H131:K131" si="18">H132+H135+H138+H141+H144+H147</f>
        <v>-12741.687242413045</v>
      </c>
      <c r="I131" s="14">
        <f t="shared" si="18"/>
        <v>-12741.687242413045</v>
      </c>
      <c r="J131" s="14">
        <f t="shared" si="18"/>
        <v>-12741.687242413045</v>
      </c>
      <c r="K131" s="14">
        <f t="shared" si="18"/>
        <v>-12741.687242413045</v>
      </c>
      <c r="M131" s="68"/>
      <c r="N131" s="70"/>
    </row>
    <row r="132" spans="1:14" x14ac:dyDescent="0.3">
      <c r="A132" s="96" t="s">
        <v>114</v>
      </c>
      <c r="B132" s="96"/>
      <c r="C132" s="96"/>
      <c r="D132" s="96"/>
      <c r="E132" s="96"/>
      <c r="F132" s="96"/>
      <c r="G132" s="17">
        <f>SUM(G133:G134)</f>
        <v>-11015.978223384009</v>
      </c>
      <c r="H132" s="17">
        <f t="shared" ref="H132:K132" si="19">SUM(H133:H134)</f>
        <v>-11015.978223384009</v>
      </c>
      <c r="I132" s="17">
        <f t="shared" si="19"/>
        <v>-11015.978223384009</v>
      </c>
      <c r="J132" s="17">
        <f t="shared" si="19"/>
        <v>-11015.978223384009</v>
      </c>
      <c r="K132" s="17">
        <f t="shared" si="19"/>
        <v>-11015.978223384009</v>
      </c>
      <c r="M132" s="68"/>
      <c r="N132" s="70"/>
    </row>
    <row r="133" spans="1:14" x14ac:dyDescent="0.3">
      <c r="A133" s="100" t="s">
        <v>115</v>
      </c>
      <c r="B133" s="100"/>
      <c r="C133" s="100"/>
      <c r="D133" s="100"/>
      <c r="E133" s="100"/>
      <c r="F133" s="100"/>
      <c r="G133" s="18">
        <v>-10878.647356883306</v>
      </c>
      <c r="H133" s="18">
        <v>-10878.647356883306</v>
      </c>
      <c r="I133" s="18">
        <v>-10878.647356883306</v>
      </c>
      <c r="J133" s="18">
        <v>-10878.647356883306</v>
      </c>
      <c r="K133" s="18">
        <v>-10878.647356883306</v>
      </c>
      <c r="M133" s="68"/>
      <c r="N133" s="70"/>
    </row>
    <row r="134" spans="1:14" x14ac:dyDescent="0.3">
      <c r="A134" s="100" t="s">
        <v>116</v>
      </c>
      <c r="B134" s="100"/>
      <c r="C134" s="100"/>
      <c r="D134" s="100"/>
      <c r="E134" s="100"/>
      <c r="F134" s="100"/>
      <c r="G134" s="18">
        <v>-137.33086650070328</v>
      </c>
      <c r="H134" s="18">
        <v>-137.33086650070328</v>
      </c>
      <c r="I134" s="18">
        <v>-137.33086650070328</v>
      </c>
      <c r="J134" s="18">
        <v>-137.33086650070328</v>
      </c>
      <c r="K134" s="18">
        <v>-137.33086650070328</v>
      </c>
      <c r="M134" s="68"/>
      <c r="N134" s="70"/>
    </row>
    <row r="135" spans="1:14" x14ac:dyDescent="0.3">
      <c r="A135" s="96" t="s">
        <v>117</v>
      </c>
      <c r="B135" s="96"/>
      <c r="C135" s="96"/>
      <c r="D135" s="96"/>
      <c r="E135" s="96"/>
      <c r="F135" s="96"/>
      <c r="G135" s="17">
        <f>SUM(G136:G137)</f>
        <v>967.1930204401674</v>
      </c>
      <c r="H135" s="17">
        <f t="shared" ref="H135:K135" si="20">SUM(H136:H137)</f>
        <v>967.1930204401674</v>
      </c>
      <c r="I135" s="17">
        <f t="shared" si="20"/>
        <v>967.1930204401674</v>
      </c>
      <c r="J135" s="17">
        <f t="shared" si="20"/>
        <v>967.1930204401674</v>
      </c>
      <c r="K135" s="17">
        <f t="shared" si="20"/>
        <v>967.1930204401674</v>
      </c>
      <c r="M135" s="68"/>
      <c r="N135" s="70"/>
    </row>
    <row r="136" spans="1:14" x14ac:dyDescent="0.3">
      <c r="A136" s="100" t="s">
        <v>118</v>
      </c>
      <c r="B136" s="100"/>
      <c r="C136" s="100"/>
      <c r="D136" s="100"/>
      <c r="E136" s="100"/>
      <c r="F136" s="100"/>
      <c r="G136" s="18">
        <v>-201.47820000000002</v>
      </c>
      <c r="H136" s="18">
        <v>-201.47820000000002</v>
      </c>
      <c r="I136" s="18">
        <v>-201.47820000000002</v>
      </c>
      <c r="J136" s="18">
        <v>-201.47820000000002</v>
      </c>
      <c r="K136" s="18">
        <v>-201.47820000000002</v>
      </c>
      <c r="M136" s="68"/>
      <c r="N136" s="70"/>
    </row>
    <row r="137" spans="1:14" x14ac:dyDescent="0.3">
      <c r="A137" s="100" t="s">
        <v>119</v>
      </c>
      <c r="B137" s="100"/>
      <c r="C137" s="100"/>
      <c r="D137" s="100"/>
      <c r="E137" s="100"/>
      <c r="F137" s="100"/>
      <c r="G137" s="18">
        <v>1168.6712204401674</v>
      </c>
      <c r="H137" s="18">
        <v>1168.6712204401674</v>
      </c>
      <c r="I137" s="18">
        <v>1168.6712204401674</v>
      </c>
      <c r="J137" s="18">
        <v>1168.6712204401674</v>
      </c>
      <c r="K137" s="18">
        <v>1168.6712204401674</v>
      </c>
      <c r="M137" s="69">
        <f>AVERAGE(G137:K137)</f>
        <v>1168.6712204401674</v>
      </c>
      <c r="N137" s="70">
        <f>M137/$M$14</f>
        <v>3.8658916099458457E-2</v>
      </c>
    </row>
    <row r="138" spans="1:14" x14ac:dyDescent="0.3">
      <c r="A138" s="96" t="s">
        <v>120</v>
      </c>
      <c r="B138" s="96"/>
      <c r="C138" s="96"/>
      <c r="D138" s="96"/>
      <c r="E138" s="96"/>
      <c r="F138" s="96"/>
      <c r="G138" s="17">
        <f>SUM(G139:G140)</f>
        <v>-2757.9061853712728</v>
      </c>
      <c r="H138" s="17">
        <f t="shared" ref="H138:K138" si="21">SUM(H139:H140)</f>
        <v>-2757.9061853712728</v>
      </c>
      <c r="I138" s="17">
        <f t="shared" si="21"/>
        <v>-2757.9061853712728</v>
      </c>
      <c r="J138" s="17">
        <f t="shared" si="21"/>
        <v>-2757.9061853712728</v>
      </c>
      <c r="K138" s="17">
        <f t="shared" si="21"/>
        <v>-2757.9061853712728</v>
      </c>
      <c r="M138" s="68"/>
      <c r="N138" s="70"/>
    </row>
    <row r="139" spans="1:14" x14ac:dyDescent="0.3">
      <c r="A139" s="100" t="s">
        <v>121</v>
      </c>
      <c r="B139" s="100"/>
      <c r="C139" s="100"/>
      <c r="D139" s="100"/>
      <c r="E139" s="100"/>
      <c r="F139" s="100"/>
      <c r="G139" s="18">
        <v>-3389.456354884207</v>
      </c>
      <c r="H139" s="18">
        <v>-3389.456354884207</v>
      </c>
      <c r="I139" s="18">
        <v>-3389.456354884207</v>
      </c>
      <c r="J139" s="18">
        <v>-3389.456354884207</v>
      </c>
      <c r="K139" s="18">
        <v>-3389.456354884207</v>
      </c>
      <c r="M139" s="68"/>
      <c r="N139" s="70"/>
    </row>
    <row r="140" spans="1:14" x14ac:dyDescent="0.3">
      <c r="A140" s="100" t="s">
        <v>122</v>
      </c>
      <c r="B140" s="100"/>
      <c r="C140" s="100"/>
      <c r="D140" s="100"/>
      <c r="E140" s="100"/>
      <c r="F140" s="100"/>
      <c r="G140" s="18">
        <v>631.55016951293396</v>
      </c>
      <c r="H140" s="18">
        <v>631.55016951293396</v>
      </c>
      <c r="I140" s="18">
        <v>631.55016951293396</v>
      </c>
      <c r="J140" s="18">
        <v>631.55016951293396</v>
      </c>
      <c r="K140" s="18">
        <v>631.55016951293396</v>
      </c>
      <c r="M140" s="68"/>
      <c r="N140" s="70"/>
    </row>
    <row r="141" spans="1:14" x14ac:dyDescent="0.3">
      <c r="A141" s="96" t="s">
        <v>123</v>
      </c>
      <c r="B141" s="96"/>
      <c r="C141" s="96"/>
      <c r="D141" s="96"/>
      <c r="E141" s="96"/>
      <c r="F141" s="96"/>
      <c r="G141" s="17">
        <f>G143</f>
        <v>4.3085144049804276</v>
      </c>
      <c r="H141" s="17">
        <f t="shared" ref="H141:K141" si="22">H143</f>
        <v>4.3085144049804276</v>
      </c>
      <c r="I141" s="17">
        <f t="shared" si="22"/>
        <v>4.3085144049804276</v>
      </c>
      <c r="J141" s="17">
        <f t="shared" si="22"/>
        <v>4.3085144049804276</v>
      </c>
      <c r="K141" s="17">
        <f t="shared" si="22"/>
        <v>4.3085144049804276</v>
      </c>
      <c r="M141" s="68"/>
      <c r="N141" s="70"/>
    </row>
    <row r="142" spans="1:14" hidden="1" x14ac:dyDescent="0.3">
      <c r="A142" s="100" t="s">
        <v>124</v>
      </c>
      <c r="B142" s="100"/>
      <c r="C142" s="100"/>
      <c r="D142" s="100"/>
      <c r="E142" s="100"/>
      <c r="F142" s="100"/>
      <c r="G142" s="16"/>
      <c r="H142" s="16"/>
      <c r="I142" s="16"/>
      <c r="J142" s="16"/>
      <c r="K142" s="16"/>
      <c r="M142" s="68"/>
      <c r="N142" s="70"/>
    </row>
    <row r="143" spans="1:14" x14ac:dyDescent="0.3">
      <c r="A143" s="101" t="s">
        <v>125</v>
      </c>
      <c r="B143" s="102"/>
      <c r="C143" s="102"/>
      <c r="D143" s="102"/>
      <c r="E143" s="102"/>
      <c r="F143" s="103"/>
      <c r="G143" s="18">
        <v>4.3085144049804276</v>
      </c>
      <c r="H143" s="18">
        <v>4.3085144049804276</v>
      </c>
      <c r="I143" s="18">
        <v>4.3085144049804276</v>
      </c>
      <c r="J143" s="18">
        <v>4.3085144049804276</v>
      </c>
      <c r="K143" s="18">
        <v>4.3085144049804276</v>
      </c>
      <c r="M143" s="68"/>
      <c r="N143" s="70"/>
    </row>
    <row r="144" spans="1:14" x14ac:dyDescent="0.3">
      <c r="A144" s="96" t="s">
        <v>126</v>
      </c>
      <c r="B144" s="96"/>
      <c r="C144" s="96"/>
      <c r="D144" s="96"/>
      <c r="E144" s="96"/>
      <c r="F144" s="96"/>
      <c r="G144" s="17">
        <f>G146</f>
        <v>15.458165142356158</v>
      </c>
      <c r="H144" s="17">
        <f t="shared" ref="H144:K144" si="23">H146</f>
        <v>15.458165142356158</v>
      </c>
      <c r="I144" s="17">
        <f t="shared" si="23"/>
        <v>15.458165142356158</v>
      </c>
      <c r="J144" s="17">
        <f t="shared" si="23"/>
        <v>15.458165142356158</v>
      </c>
      <c r="K144" s="17">
        <f t="shared" si="23"/>
        <v>15.458165142356158</v>
      </c>
      <c r="M144" s="68"/>
      <c r="N144" s="70"/>
    </row>
    <row r="145" spans="1:14" hidden="1" x14ac:dyDescent="0.3">
      <c r="A145" s="100" t="s">
        <v>127</v>
      </c>
      <c r="B145" s="100"/>
      <c r="C145" s="100"/>
      <c r="D145" s="100"/>
      <c r="E145" s="100"/>
      <c r="F145" s="100"/>
      <c r="G145" s="16"/>
      <c r="H145" s="16"/>
      <c r="I145" s="16"/>
      <c r="J145" s="16"/>
      <c r="K145" s="16"/>
      <c r="M145" s="68"/>
      <c r="N145" s="70"/>
    </row>
    <row r="146" spans="1:14" x14ac:dyDescent="0.3">
      <c r="A146" s="100" t="s">
        <v>128</v>
      </c>
      <c r="B146" s="100"/>
      <c r="C146" s="100"/>
      <c r="D146" s="100"/>
      <c r="E146" s="100"/>
      <c r="F146" s="100"/>
      <c r="G146" s="18">
        <v>15.458165142356158</v>
      </c>
      <c r="H146" s="18">
        <v>15.458165142356158</v>
      </c>
      <c r="I146" s="18">
        <v>15.458165142356158</v>
      </c>
      <c r="J146" s="18">
        <v>15.458165142356158</v>
      </c>
      <c r="K146" s="18">
        <v>15.458165142356158</v>
      </c>
      <c r="M146" s="68"/>
      <c r="N146" s="70"/>
    </row>
    <row r="147" spans="1:14" x14ac:dyDescent="0.3">
      <c r="A147" s="96" t="s">
        <v>129</v>
      </c>
      <c r="B147" s="96"/>
      <c r="C147" s="96"/>
      <c r="D147" s="96"/>
      <c r="E147" s="96"/>
      <c r="F147" s="96"/>
      <c r="G147" s="17">
        <f>G149</f>
        <v>45.237466354731666</v>
      </c>
      <c r="H147" s="17">
        <f t="shared" ref="H147:K147" si="24">H149</f>
        <v>45.237466354731666</v>
      </c>
      <c r="I147" s="17">
        <f t="shared" si="24"/>
        <v>45.237466354731666</v>
      </c>
      <c r="J147" s="17">
        <f t="shared" si="24"/>
        <v>45.237466354731666</v>
      </c>
      <c r="K147" s="17">
        <f t="shared" si="24"/>
        <v>45.237466354731666</v>
      </c>
      <c r="M147" s="68"/>
      <c r="N147" s="70"/>
    </row>
    <row r="148" spans="1:14" hidden="1" x14ac:dyDescent="0.3">
      <c r="A148" s="100" t="s">
        <v>170</v>
      </c>
      <c r="B148" s="100"/>
      <c r="C148" s="100"/>
      <c r="D148" s="100"/>
      <c r="E148" s="100"/>
      <c r="F148" s="100"/>
      <c r="G148" s="16"/>
      <c r="H148" s="16"/>
      <c r="I148" s="16"/>
      <c r="J148" s="16"/>
      <c r="K148" s="16"/>
      <c r="M148" s="68"/>
      <c r="N148" s="70"/>
    </row>
    <row r="149" spans="1:14" x14ac:dyDescent="0.3">
      <c r="A149" s="100" t="s">
        <v>171</v>
      </c>
      <c r="B149" s="100"/>
      <c r="C149" s="100"/>
      <c r="D149" s="100"/>
      <c r="E149" s="100"/>
      <c r="F149" s="100"/>
      <c r="G149" s="18">
        <v>45.237466354731666</v>
      </c>
      <c r="H149" s="18">
        <v>45.237466354731666</v>
      </c>
      <c r="I149" s="18">
        <v>45.237466354731666</v>
      </c>
      <c r="J149" s="18">
        <v>45.237466354731666</v>
      </c>
      <c r="K149" s="18">
        <v>45.237466354731666</v>
      </c>
      <c r="M149" s="68"/>
      <c r="N149" s="70"/>
    </row>
    <row r="150" spans="1:14" x14ac:dyDescent="0.3">
      <c r="A150" s="95" t="s">
        <v>153</v>
      </c>
      <c r="B150" s="95"/>
      <c r="C150" s="95"/>
      <c r="D150" s="95"/>
      <c r="E150" s="95"/>
      <c r="F150" s="95"/>
      <c r="G150" s="14">
        <f>G151+G156+G157+G158+G159+G160</f>
        <v>2374.9780446639875</v>
      </c>
      <c r="H150" s="14">
        <f t="shared" ref="H150:K150" si="25">H151+H156+H157+H158+H159+H160</f>
        <v>2423.8641383304098</v>
      </c>
      <c r="I150" s="14">
        <f t="shared" si="25"/>
        <v>2260.0570090580618</v>
      </c>
      <c r="J150" s="14">
        <f t="shared" si="25"/>
        <v>2599.7646306007859</v>
      </c>
      <c r="K150" s="14">
        <f t="shared" si="25"/>
        <v>2652.6557692558708</v>
      </c>
      <c r="M150" s="68"/>
      <c r="N150" s="70"/>
    </row>
    <row r="151" spans="1:14" x14ac:dyDescent="0.3">
      <c r="A151" s="96" t="s">
        <v>130</v>
      </c>
      <c r="B151" s="96"/>
      <c r="C151" s="96"/>
      <c r="D151" s="96"/>
      <c r="E151" s="96"/>
      <c r="F151" s="96"/>
      <c r="G151" s="17">
        <f>SUM(G152:G154)</f>
        <v>149.55137193538593</v>
      </c>
      <c r="H151" s="17">
        <f t="shared" ref="H151:K151" si="26">SUM(H152:H154)</f>
        <v>132.06376684863432</v>
      </c>
      <c r="I151" s="17">
        <f t="shared" si="26"/>
        <v>90.43481732139719</v>
      </c>
      <c r="J151" s="17">
        <f t="shared" si="26"/>
        <v>110.6287252506205</v>
      </c>
      <c r="K151" s="17">
        <f t="shared" si="26"/>
        <v>216.59459428838039</v>
      </c>
      <c r="M151" s="68"/>
      <c r="N151" s="70"/>
    </row>
    <row r="152" spans="1:14" x14ac:dyDescent="0.3">
      <c r="A152" s="100" t="s">
        <v>131</v>
      </c>
      <c r="B152" s="100"/>
      <c r="C152" s="100"/>
      <c r="D152" s="100"/>
      <c r="E152" s="100"/>
      <c r="F152" s="100"/>
      <c r="G152" s="18">
        <v>35.203837596597779</v>
      </c>
      <c r="H152" s="18">
        <v>32.08126581176176</v>
      </c>
      <c r="I152" s="18">
        <v>1.1747635583453011</v>
      </c>
      <c r="J152" s="18">
        <v>14.813057017811317</v>
      </c>
      <c r="K152" s="18">
        <v>56.355065247354183</v>
      </c>
      <c r="M152" s="68"/>
      <c r="N152" s="70"/>
    </row>
    <row r="153" spans="1:14" x14ac:dyDescent="0.3">
      <c r="A153" s="100" t="s">
        <v>132</v>
      </c>
      <c r="B153" s="100"/>
      <c r="C153" s="100"/>
      <c r="D153" s="100"/>
      <c r="E153" s="100"/>
      <c r="F153" s="100"/>
      <c r="G153" s="18">
        <v>91.4</v>
      </c>
      <c r="H153" s="18">
        <v>89.6</v>
      </c>
      <c r="I153" s="18">
        <v>87.5</v>
      </c>
      <c r="J153" s="18">
        <v>85.599999999999909</v>
      </c>
      <c r="K153" s="18">
        <v>83.650000000000091</v>
      </c>
      <c r="M153" s="68"/>
      <c r="N153" s="70"/>
    </row>
    <row r="154" spans="1:14" x14ac:dyDescent="0.3">
      <c r="A154" s="100" t="s">
        <v>133</v>
      </c>
      <c r="B154" s="100"/>
      <c r="C154" s="100"/>
      <c r="D154" s="100"/>
      <c r="E154" s="100"/>
      <c r="F154" s="100"/>
      <c r="G154" s="18">
        <v>22.947534338788138</v>
      </c>
      <c r="H154" s="18">
        <v>10.382501036872569</v>
      </c>
      <c r="I154" s="18">
        <v>1.7600537630518924</v>
      </c>
      <c r="J154" s="18">
        <v>10.215668232809278</v>
      </c>
      <c r="K154" s="18">
        <v>76.589529041026111</v>
      </c>
      <c r="M154" s="68"/>
      <c r="N154" s="70"/>
    </row>
    <row r="155" spans="1:14" hidden="1" x14ac:dyDescent="0.3">
      <c r="A155" s="100" t="s">
        <v>134</v>
      </c>
      <c r="B155" s="100"/>
      <c r="C155" s="100"/>
      <c r="D155" s="100"/>
      <c r="E155" s="100"/>
      <c r="F155" s="100"/>
      <c r="G155" s="16"/>
      <c r="H155" s="16"/>
      <c r="I155" s="16"/>
      <c r="J155" s="16"/>
      <c r="K155" s="16"/>
      <c r="M155" s="68"/>
      <c r="N155" s="70"/>
    </row>
    <row r="156" spans="1:14" x14ac:dyDescent="0.3">
      <c r="A156" s="96" t="s">
        <v>135</v>
      </c>
      <c r="B156" s="96"/>
      <c r="C156" s="96"/>
      <c r="D156" s="96"/>
      <c r="E156" s="96"/>
      <c r="F156" s="96"/>
      <c r="G156" s="17">
        <v>2.1117909752619708</v>
      </c>
      <c r="H156" s="17">
        <v>2.1572916845834147</v>
      </c>
      <c r="I156" s="17">
        <v>2.1291479833474991</v>
      </c>
      <c r="J156" s="17">
        <v>2.2215254223520167</v>
      </c>
      <c r="K156" s="17">
        <v>2.2611329736777015</v>
      </c>
      <c r="M156" s="68"/>
      <c r="N156" s="70"/>
    </row>
    <row r="157" spans="1:14" x14ac:dyDescent="0.3">
      <c r="A157" s="96" t="s">
        <v>136</v>
      </c>
      <c r="B157" s="96"/>
      <c r="C157" s="96"/>
      <c r="D157" s="96"/>
      <c r="E157" s="96"/>
      <c r="F157" s="96"/>
      <c r="G157" s="17">
        <v>69.212731358167545</v>
      </c>
      <c r="H157" s="17">
        <v>75.270546327590068</v>
      </c>
      <c r="I157" s="17">
        <v>60.117264376988963</v>
      </c>
      <c r="J157" s="17">
        <v>74.18721000312236</v>
      </c>
      <c r="K157" s="17">
        <v>64.308962718018577</v>
      </c>
      <c r="M157" s="68"/>
      <c r="N157" s="70"/>
    </row>
    <row r="158" spans="1:14" x14ac:dyDescent="0.3">
      <c r="A158" s="96" t="s">
        <v>154</v>
      </c>
      <c r="B158" s="96"/>
      <c r="C158" s="96"/>
      <c r="D158" s="96"/>
      <c r="E158" s="96"/>
      <c r="F158" s="96"/>
      <c r="G158" s="17">
        <v>1468.5754723803298</v>
      </c>
      <c r="H158" s="17">
        <v>1510.8151927064257</v>
      </c>
      <c r="I158" s="17">
        <v>1429.2472290641933</v>
      </c>
      <c r="J158" s="17">
        <v>1618.9379021432314</v>
      </c>
      <c r="K158" s="17">
        <v>1573.1736216455197</v>
      </c>
      <c r="M158" s="69">
        <f>AVERAGE(G158:K158)</f>
        <v>1520.1498835879399</v>
      </c>
      <c r="N158" s="70">
        <f>M158/$M$14</f>
        <v>5.0285611368177295E-2</v>
      </c>
    </row>
    <row r="159" spans="1:14" x14ac:dyDescent="0.3">
      <c r="A159" s="96" t="s">
        <v>155</v>
      </c>
      <c r="B159" s="96"/>
      <c r="C159" s="96"/>
      <c r="D159" s="96"/>
      <c r="E159" s="96"/>
      <c r="F159" s="96"/>
      <c r="G159" s="17">
        <v>447.89637411542867</v>
      </c>
      <c r="H159" s="17">
        <v>462.92526967055653</v>
      </c>
      <c r="I159" s="17">
        <v>425.64126605758577</v>
      </c>
      <c r="J159" s="17">
        <v>459.7266561230403</v>
      </c>
      <c r="K159" s="17">
        <v>429.34620734042363</v>
      </c>
      <c r="M159" s="68"/>
      <c r="N159" s="68"/>
    </row>
    <row r="160" spans="1:14" x14ac:dyDescent="0.3">
      <c r="A160" s="96" t="s">
        <v>156</v>
      </c>
      <c r="B160" s="96"/>
      <c r="C160" s="96"/>
      <c r="D160" s="96"/>
      <c r="E160" s="96"/>
      <c r="F160" s="96"/>
      <c r="G160" s="17">
        <v>237.63030389941349</v>
      </c>
      <c r="H160" s="17">
        <v>240.63207109261984</v>
      </c>
      <c r="I160" s="17">
        <v>252.48728425454914</v>
      </c>
      <c r="J160" s="17">
        <v>334.0626116584196</v>
      </c>
      <c r="K160" s="17">
        <v>366.97125028985084</v>
      </c>
      <c r="M160" s="68"/>
      <c r="N160" s="68"/>
    </row>
    <row r="161" spans="1:14" hidden="1" x14ac:dyDescent="0.3">
      <c r="A161" s="96" t="s">
        <v>137</v>
      </c>
      <c r="B161" s="96"/>
      <c r="C161" s="96"/>
      <c r="D161" s="96"/>
      <c r="E161" s="96"/>
      <c r="F161" s="96"/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M161" s="68"/>
      <c r="N161" s="68"/>
    </row>
    <row r="162" spans="1:14" hidden="1" x14ac:dyDescent="0.3">
      <c r="A162" s="95" t="s">
        <v>165</v>
      </c>
      <c r="B162" s="95"/>
      <c r="C162" s="95"/>
      <c r="D162" s="95"/>
      <c r="E162" s="95"/>
      <c r="F162" s="95"/>
      <c r="G162" s="14"/>
      <c r="H162" s="14"/>
      <c r="I162" s="14"/>
      <c r="J162" s="14"/>
      <c r="K162" s="14"/>
      <c r="M162" s="68"/>
      <c r="N162" s="68"/>
    </row>
    <row r="163" spans="1:14" hidden="1" x14ac:dyDescent="0.3">
      <c r="A163" s="97" t="s">
        <v>138</v>
      </c>
      <c r="B163" s="97"/>
      <c r="C163" s="97"/>
      <c r="D163" s="97"/>
      <c r="E163" s="97"/>
      <c r="F163" s="97"/>
      <c r="G163" s="16"/>
      <c r="H163" s="16"/>
      <c r="I163" s="16"/>
      <c r="J163" s="16"/>
      <c r="K163" s="16"/>
      <c r="M163" s="68"/>
      <c r="N163" s="68"/>
    </row>
    <row r="164" spans="1:14" hidden="1" x14ac:dyDescent="0.3">
      <c r="A164" s="97" t="s">
        <v>139</v>
      </c>
      <c r="B164" s="97"/>
      <c r="C164" s="97"/>
      <c r="D164" s="97"/>
      <c r="E164" s="97"/>
      <c r="F164" s="97"/>
      <c r="G164" s="16"/>
      <c r="H164" s="16"/>
      <c r="I164" s="16"/>
      <c r="J164" s="16"/>
      <c r="K164" s="16"/>
      <c r="M164" s="68"/>
      <c r="N164" s="68"/>
    </row>
    <row r="165" spans="1:14" ht="15.6" x14ac:dyDescent="0.3">
      <c r="A165" s="98" t="s">
        <v>140</v>
      </c>
      <c r="B165" s="98"/>
      <c r="C165" s="98"/>
      <c r="D165" s="98"/>
      <c r="E165" s="98"/>
      <c r="F165" s="99"/>
      <c r="G165" s="13">
        <f>G166+G170+G171+G174</f>
        <v>1290.3577311375407</v>
      </c>
      <c r="H165" s="13">
        <f t="shared" ref="H165:K165" si="27">H166+H170+H171+H174</f>
        <v>1323.1879014725223</v>
      </c>
      <c r="I165" s="13">
        <f t="shared" si="27"/>
        <v>1352.579807099798</v>
      </c>
      <c r="J165" s="13">
        <f t="shared" si="27"/>
        <v>1374.9305046177967</v>
      </c>
      <c r="K165" s="13">
        <f t="shared" si="27"/>
        <v>1401.8509740522795</v>
      </c>
      <c r="M165" s="68"/>
      <c r="N165" s="68"/>
    </row>
    <row r="166" spans="1:14" x14ac:dyDescent="0.3">
      <c r="A166" s="95" t="s">
        <v>141</v>
      </c>
      <c r="B166" s="95"/>
      <c r="C166" s="95"/>
      <c r="D166" s="95"/>
      <c r="E166" s="95"/>
      <c r="F166" s="95"/>
      <c r="G166" s="14">
        <f>G167+G168</f>
        <v>459.14869999999996</v>
      </c>
      <c r="H166" s="14">
        <f t="shared" ref="H166:K166" si="28">H167+H168</f>
        <v>483.83240000000001</v>
      </c>
      <c r="I166" s="14">
        <f t="shared" si="28"/>
        <v>509.73580000000004</v>
      </c>
      <c r="J166" s="14">
        <f t="shared" si="28"/>
        <v>536.38139999999999</v>
      </c>
      <c r="K166" s="14">
        <f t="shared" si="28"/>
        <v>564.41689999999994</v>
      </c>
      <c r="M166" s="68"/>
      <c r="N166" s="72"/>
    </row>
    <row r="167" spans="1:14" x14ac:dyDescent="0.3">
      <c r="A167" s="96" t="s">
        <v>142</v>
      </c>
      <c r="B167" s="96"/>
      <c r="C167" s="96"/>
      <c r="D167" s="96"/>
      <c r="E167" s="96"/>
      <c r="F167" s="96"/>
      <c r="G167" s="17">
        <v>371.59039999999999</v>
      </c>
      <c r="H167" s="17">
        <v>394.76</v>
      </c>
      <c r="I167" s="17">
        <v>419.32780000000002</v>
      </c>
      <c r="J167" s="17">
        <v>444.47410000000002</v>
      </c>
      <c r="K167" s="17">
        <v>471.42129999999997</v>
      </c>
      <c r="M167" s="68"/>
      <c r="N167" s="73"/>
    </row>
    <row r="168" spans="1:14" x14ac:dyDescent="0.3">
      <c r="A168" s="96" t="s">
        <v>143</v>
      </c>
      <c r="B168" s="96"/>
      <c r="C168" s="96"/>
      <c r="D168" s="96"/>
      <c r="E168" s="96"/>
      <c r="F168" s="96"/>
      <c r="G168" s="17">
        <v>87.558300000000003</v>
      </c>
      <c r="H168" s="17">
        <v>89.072400000000002</v>
      </c>
      <c r="I168" s="17">
        <v>90.408000000000001</v>
      </c>
      <c r="J168" s="17">
        <v>91.907300000000006</v>
      </c>
      <c r="K168" s="17">
        <v>92.995599999999996</v>
      </c>
      <c r="M168" s="68"/>
      <c r="N168" s="68"/>
    </row>
    <row r="169" spans="1:14" hidden="1" x14ac:dyDescent="0.3">
      <c r="A169" s="96" t="s">
        <v>144</v>
      </c>
      <c r="B169" s="96"/>
      <c r="C169" s="96"/>
      <c r="D169" s="96"/>
      <c r="E169" s="96"/>
      <c r="F169" s="96"/>
      <c r="G169" s="17"/>
      <c r="H169" s="17"/>
      <c r="I169" s="17"/>
      <c r="J169" s="17"/>
      <c r="K169" s="17"/>
      <c r="M169" s="68"/>
      <c r="N169" s="68"/>
    </row>
    <row r="170" spans="1:14" x14ac:dyDescent="0.3">
      <c r="A170" s="95" t="s">
        <v>145</v>
      </c>
      <c r="B170" s="95"/>
      <c r="C170" s="95"/>
      <c r="D170" s="95"/>
      <c r="E170" s="95"/>
      <c r="F170" s="95"/>
      <c r="G170" s="14">
        <v>0.14498</v>
      </c>
      <c r="H170" s="14">
        <v>0.20857999999999999</v>
      </c>
      <c r="I170" s="14">
        <v>0.27217999999999998</v>
      </c>
      <c r="J170" s="14">
        <v>0.33578000000000002</v>
      </c>
      <c r="K170" s="14">
        <v>0.39938000000000001</v>
      </c>
      <c r="M170" s="68"/>
      <c r="N170" s="68"/>
    </row>
    <row r="171" spans="1:14" x14ac:dyDescent="0.3">
      <c r="A171" s="95" t="s">
        <v>146</v>
      </c>
      <c r="B171" s="95"/>
      <c r="C171" s="95"/>
      <c r="D171" s="95"/>
      <c r="E171" s="95"/>
      <c r="F171" s="95"/>
      <c r="G171" s="14">
        <f>G172+G173</f>
        <v>31.14752</v>
      </c>
      <c r="H171" s="14">
        <f t="shared" ref="H171:K171" si="29">H172+H173</f>
        <v>31.734400000000001</v>
      </c>
      <c r="I171" s="14">
        <f t="shared" si="29"/>
        <v>32.332349999999998</v>
      </c>
      <c r="J171" s="14">
        <f t="shared" si="29"/>
        <v>32.941589999999998</v>
      </c>
      <c r="K171" s="14">
        <f t="shared" si="29"/>
        <v>33.562329999999996</v>
      </c>
      <c r="M171" s="68"/>
      <c r="N171" s="68"/>
    </row>
    <row r="172" spans="1:14" x14ac:dyDescent="0.3">
      <c r="A172" s="96" t="s">
        <v>147</v>
      </c>
      <c r="B172" s="96"/>
      <c r="C172" s="96"/>
      <c r="D172" s="96"/>
      <c r="E172" s="96"/>
      <c r="F172" s="96"/>
      <c r="G172" s="17">
        <v>5.0939999999999999E-2</v>
      </c>
      <c r="H172" s="17">
        <v>5.0939999999999999E-2</v>
      </c>
      <c r="I172" s="17">
        <v>5.0939999999999999E-2</v>
      </c>
      <c r="J172" s="17">
        <v>5.0939999999999999E-2</v>
      </c>
      <c r="K172" s="17">
        <v>5.0939999999999999E-2</v>
      </c>
      <c r="M172" s="68"/>
      <c r="N172" s="68"/>
    </row>
    <row r="173" spans="1:14" x14ac:dyDescent="0.3">
      <c r="A173" s="96" t="s">
        <v>148</v>
      </c>
      <c r="B173" s="96"/>
      <c r="C173" s="96"/>
      <c r="D173" s="96"/>
      <c r="E173" s="96"/>
      <c r="F173" s="96"/>
      <c r="G173" s="17">
        <v>31.096579999999999</v>
      </c>
      <c r="H173" s="17">
        <v>31.68346</v>
      </c>
      <c r="I173" s="17">
        <v>32.281410000000001</v>
      </c>
      <c r="J173" s="17">
        <v>32.890650000000001</v>
      </c>
      <c r="K173" s="17">
        <v>33.511389999999999</v>
      </c>
      <c r="M173" s="68"/>
      <c r="N173" s="68"/>
    </row>
    <row r="174" spans="1:14" x14ac:dyDescent="0.3">
      <c r="A174" s="95" t="s">
        <v>149</v>
      </c>
      <c r="B174" s="95"/>
      <c r="C174" s="95"/>
      <c r="D174" s="95"/>
      <c r="E174" s="95"/>
      <c r="F174" s="95"/>
      <c r="G174" s="14">
        <f>SUM(G175:G176)</f>
        <v>799.9165311375408</v>
      </c>
      <c r="H174" s="14">
        <f t="shared" ref="H174:K174" si="30">SUM(H175:H176)</f>
        <v>807.41252147252214</v>
      </c>
      <c r="I174" s="14">
        <f t="shared" si="30"/>
        <v>810.23947709979802</v>
      </c>
      <c r="J174" s="14">
        <f t="shared" si="30"/>
        <v>805.27173461779671</v>
      </c>
      <c r="K174" s="14">
        <f t="shared" si="30"/>
        <v>803.47236405227954</v>
      </c>
      <c r="M174" s="68"/>
      <c r="N174" s="68"/>
    </row>
    <row r="175" spans="1:14" x14ac:dyDescent="0.3">
      <c r="A175" s="96" t="s">
        <v>150</v>
      </c>
      <c r="B175" s="96"/>
      <c r="C175" s="96"/>
      <c r="D175" s="96"/>
      <c r="E175" s="96"/>
      <c r="F175" s="96"/>
      <c r="G175" s="17">
        <v>741.77356206533875</v>
      </c>
      <c r="H175" s="17">
        <v>748.67027959494419</v>
      </c>
      <c r="I175" s="17">
        <v>750.89796241684405</v>
      </c>
      <c r="J175" s="17">
        <v>745.33094712946661</v>
      </c>
      <c r="K175" s="17">
        <v>742.93230375857343</v>
      </c>
      <c r="M175" s="72"/>
      <c r="N175" s="68"/>
    </row>
    <row r="176" spans="1:14" x14ac:dyDescent="0.3">
      <c r="A176" s="96" t="s">
        <v>151</v>
      </c>
      <c r="B176" s="96"/>
      <c r="C176" s="96"/>
      <c r="D176" s="96"/>
      <c r="E176" s="96"/>
      <c r="F176" s="96"/>
      <c r="G176" s="17">
        <v>58.142969072202</v>
      </c>
      <c r="H176" s="17">
        <v>58.742241877578003</v>
      </c>
      <c r="I176" s="17">
        <v>59.341514682953999</v>
      </c>
      <c r="J176" s="17">
        <v>59.940787488330045</v>
      </c>
      <c r="K176" s="17">
        <v>60.540060293706134</v>
      </c>
      <c r="M176" s="72"/>
      <c r="N176" s="68"/>
    </row>
    <row r="177" spans="1:13" hidden="1" x14ac:dyDescent="0.3">
      <c r="A177" s="95" t="s">
        <v>152</v>
      </c>
      <c r="B177" s="95"/>
      <c r="C177" s="95"/>
      <c r="D177" s="95"/>
      <c r="E177" s="95"/>
      <c r="F177" s="95"/>
      <c r="G177" s="14"/>
      <c r="H177" s="14"/>
      <c r="I177" s="14"/>
      <c r="J177" s="14"/>
      <c r="K177" s="14"/>
      <c r="M177" s="19"/>
    </row>
    <row r="178" spans="1:13" ht="18" x14ac:dyDescent="0.3">
      <c r="A178" s="92" t="s">
        <v>172</v>
      </c>
      <c r="B178" s="93"/>
      <c r="C178" s="93"/>
      <c r="D178" s="93"/>
      <c r="E178" s="93"/>
      <c r="F178" s="94"/>
      <c r="G178" s="21">
        <f>G16+G55+G109+G150+G165</f>
        <v>29717.490613996521</v>
      </c>
      <c r="H178" s="21">
        <f t="shared" ref="H178:K178" si="31">H16+H55+H109+H150+H165</f>
        <v>29893.679334214514</v>
      </c>
      <c r="I178" s="21">
        <f t="shared" si="31"/>
        <v>29879.72682345628</v>
      </c>
      <c r="J178" s="21">
        <f t="shared" si="31"/>
        <v>30652.015083478462</v>
      </c>
      <c r="K178" s="21">
        <f t="shared" si="31"/>
        <v>31008.664334096931</v>
      </c>
      <c r="M178" s="19"/>
    </row>
    <row r="179" spans="1:13" ht="18" x14ac:dyDescent="0.3">
      <c r="A179" s="92" t="s">
        <v>173</v>
      </c>
      <c r="B179" s="93"/>
      <c r="C179" s="93"/>
      <c r="D179" s="93"/>
      <c r="E179" s="93"/>
      <c r="F179" s="94"/>
      <c r="G179" s="21">
        <f>G178+(G131)</f>
        <v>16975.803371583475</v>
      </c>
      <c r="H179" s="21">
        <f t="shared" ref="H179:K179" si="32">H178+(H131)</f>
        <v>17151.992091801469</v>
      </c>
      <c r="I179" s="21">
        <f t="shared" si="32"/>
        <v>17138.039581043235</v>
      </c>
      <c r="J179" s="21">
        <f t="shared" si="32"/>
        <v>17910.327841065417</v>
      </c>
      <c r="K179" s="21">
        <f t="shared" si="32"/>
        <v>18266.977091683886</v>
      </c>
      <c r="M179" s="19"/>
    </row>
  </sheetData>
  <mergeCells count="165">
    <mergeCell ref="A15:F15"/>
    <mergeCell ref="A28:F28"/>
    <mergeCell ref="A29:F29"/>
    <mergeCell ref="A30:F30"/>
    <mergeCell ref="A22:F22"/>
    <mergeCell ref="A23:F23"/>
    <mergeCell ref="A24:F24"/>
    <mergeCell ref="A25:F25"/>
    <mergeCell ref="A26:F26"/>
    <mergeCell ref="A27:F27"/>
    <mergeCell ref="A17:F17"/>
    <mergeCell ref="A18:F18"/>
    <mergeCell ref="A19:F19"/>
    <mergeCell ref="A20:F20"/>
    <mergeCell ref="A21:F21"/>
    <mergeCell ref="A34:F34"/>
    <mergeCell ref="A35:F35"/>
    <mergeCell ref="A36:F36"/>
    <mergeCell ref="A37:F37"/>
    <mergeCell ref="A38:F38"/>
    <mergeCell ref="A39:F39"/>
    <mergeCell ref="A31:F31"/>
    <mergeCell ref="A32:F32"/>
    <mergeCell ref="A33:F33"/>
    <mergeCell ref="A45:F45"/>
    <mergeCell ref="A46:F46"/>
    <mergeCell ref="A47:F47"/>
    <mergeCell ref="A48:F48"/>
    <mergeCell ref="A49:F49"/>
    <mergeCell ref="A50:F50"/>
    <mergeCell ref="A40:F40"/>
    <mergeCell ref="A41:F41"/>
    <mergeCell ref="A42:F42"/>
    <mergeCell ref="A43:F43"/>
    <mergeCell ref="A44:F44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56:F56"/>
    <mergeCell ref="A69:F69"/>
    <mergeCell ref="A70:F70"/>
    <mergeCell ref="A71:F71"/>
    <mergeCell ref="A72:F72"/>
    <mergeCell ref="A73:F73"/>
    <mergeCell ref="A74:F74"/>
    <mergeCell ref="A63:F63"/>
    <mergeCell ref="A64:F64"/>
    <mergeCell ref="A65:F65"/>
    <mergeCell ref="A66:F66"/>
    <mergeCell ref="A67:F67"/>
    <mergeCell ref="A68:F68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93:F93"/>
    <mergeCell ref="A94:F94"/>
    <mergeCell ref="A95:F95"/>
    <mergeCell ref="A96:F96"/>
    <mergeCell ref="A97:F97"/>
    <mergeCell ref="A98:F98"/>
    <mergeCell ref="A87:F87"/>
    <mergeCell ref="A88:F88"/>
    <mergeCell ref="A89:F89"/>
    <mergeCell ref="A90:F90"/>
    <mergeCell ref="A91:F91"/>
    <mergeCell ref="A92:F92"/>
    <mergeCell ref="A105:F105"/>
    <mergeCell ref="A106:F106"/>
    <mergeCell ref="A107:F107"/>
    <mergeCell ref="A108:F108"/>
    <mergeCell ref="A109:F109"/>
    <mergeCell ref="A110:F110"/>
    <mergeCell ref="A99:F99"/>
    <mergeCell ref="A100:F100"/>
    <mergeCell ref="A101:F101"/>
    <mergeCell ref="A102:F102"/>
    <mergeCell ref="A103:F103"/>
    <mergeCell ref="A104:F104"/>
    <mergeCell ref="A117:F117"/>
    <mergeCell ref="A118:F118"/>
    <mergeCell ref="A119:F119"/>
    <mergeCell ref="A120:F120"/>
    <mergeCell ref="A121:F121"/>
    <mergeCell ref="A122:F122"/>
    <mergeCell ref="A111:F111"/>
    <mergeCell ref="A112:F112"/>
    <mergeCell ref="A113:F113"/>
    <mergeCell ref="A114:F114"/>
    <mergeCell ref="A115:F115"/>
    <mergeCell ref="A116:F116"/>
    <mergeCell ref="A129:F129"/>
    <mergeCell ref="A130:F130"/>
    <mergeCell ref="A131:F131"/>
    <mergeCell ref="A132:F132"/>
    <mergeCell ref="A133:F133"/>
    <mergeCell ref="A134:F134"/>
    <mergeCell ref="A123:F123"/>
    <mergeCell ref="A124:F124"/>
    <mergeCell ref="A125:F125"/>
    <mergeCell ref="A126:F126"/>
    <mergeCell ref="A127:F127"/>
    <mergeCell ref="A128:F128"/>
    <mergeCell ref="A141:F141"/>
    <mergeCell ref="A142:F142"/>
    <mergeCell ref="A143:F143"/>
    <mergeCell ref="A144:F144"/>
    <mergeCell ref="A145:F145"/>
    <mergeCell ref="A146:F146"/>
    <mergeCell ref="A135:F135"/>
    <mergeCell ref="A136:F136"/>
    <mergeCell ref="A137:F137"/>
    <mergeCell ref="A138:F138"/>
    <mergeCell ref="A139:F139"/>
    <mergeCell ref="A140:F140"/>
    <mergeCell ref="A155:F155"/>
    <mergeCell ref="A156:F156"/>
    <mergeCell ref="A157:F157"/>
    <mergeCell ref="A158:F158"/>
    <mergeCell ref="A147:F147"/>
    <mergeCell ref="A148:F148"/>
    <mergeCell ref="A149:F149"/>
    <mergeCell ref="A150:F150"/>
    <mergeCell ref="A151:F151"/>
    <mergeCell ref="A152:F152"/>
    <mergeCell ref="A179:F179"/>
    <mergeCell ref="A14:F14"/>
    <mergeCell ref="A178:F178"/>
    <mergeCell ref="A162:F162"/>
    <mergeCell ref="A172:F172"/>
    <mergeCell ref="A173:F173"/>
    <mergeCell ref="A174:F174"/>
    <mergeCell ref="A175:F175"/>
    <mergeCell ref="A176:F176"/>
    <mergeCell ref="A177:F177"/>
    <mergeCell ref="A166:F166"/>
    <mergeCell ref="A167:F167"/>
    <mergeCell ref="A168:F168"/>
    <mergeCell ref="A169:F169"/>
    <mergeCell ref="A170:F170"/>
    <mergeCell ref="A171:F171"/>
    <mergeCell ref="A159:F159"/>
    <mergeCell ref="A160:F160"/>
    <mergeCell ref="A161:F161"/>
    <mergeCell ref="A163:F163"/>
    <mergeCell ref="A164:F164"/>
    <mergeCell ref="A165:F165"/>
    <mergeCell ref="A153:F153"/>
    <mergeCell ref="A154:F15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90A1-1219-4C24-BED8-426A9AA33CAF}">
  <dimension ref="A1:V56"/>
  <sheetViews>
    <sheetView topLeftCell="R28" zoomScale="110" zoomScaleNormal="110" workbookViewId="0">
      <selection activeCell="AM15" sqref="AM15"/>
    </sheetView>
  </sheetViews>
  <sheetFormatPr defaultColWidth="8.88671875" defaultRowHeight="14.4" x14ac:dyDescent="0.3"/>
  <cols>
    <col min="2" max="2" width="42.21875" bestFit="1" customWidth="1"/>
    <col min="3" max="10" width="8.88671875" customWidth="1"/>
    <col min="18" max="22" width="11" customWidth="1"/>
  </cols>
  <sheetData>
    <row r="1" spans="1:22" ht="15.6" x14ac:dyDescent="0.35">
      <c r="R1" s="108" t="s">
        <v>253</v>
      </c>
      <c r="S1" s="108"/>
      <c r="T1" s="108"/>
      <c r="U1" s="108"/>
      <c r="V1" s="108"/>
    </row>
    <row r="2" spans="1:22" ht="15.6" x14ac:dyDescent="0.3">
      <c r="B2" s="66" t="s">
        <v>252</v>
      </c>
      <c r="C2" s="66">
        <v>1990</v>
      </c>
      <c r="D2" s="66">
        <v>1995</v>
      </c>
      <c r="E2" s="66">
        <v>2000</v>
      </c>
      <c r="F2" s="66">
        <v>2005</v>
      </c>
      <c r="G2" s="66">
        <v>2010</v>
      </c>
      <c r="H2" s="66">
        <v>2015</v>
      </c>
      <c r="I2" s="66">
        <v>2020</v>
      </c>
      <c r="J2" s="66">
        <v>2025</v>
      </c>
      <c r="L2" s="11" t="s">
        <v>166</v>
      </c>
      <c r="M2" s="11"/>
      <c r="N2" s="11"/>
      <c r="O2" s="11"/>
      <c r="P2" s="11"/>
      <c r="Q2" s="11"/>
      <c r="R2" s="10">
        <v>2013</v>
      </c>
      <c r="S2" s="10">
        <v>2014</v>
      </c>
      <c r="T2" s="10">
        <v>2015</v>
      </c>
      <c r="U2" s="10">
        <v>2016</v>
      </c>
      <c r="V2" s="10">
        <v>2017</v>
      </c>
    </row>
    <row r="3" spans="1:22" x14ac:dyDescent="0.3">
      <c r="A3">
        <v>1</v>
      </c>
      <c r="B3" s="63" t="s">
        <v>210</v>
      </c>
      <c r="C3" s="63">
        <v>4.0199999999999996</v>
      </c>
      <c r="D3" s="63">
        <v>5.34</v>
      </c>
      <c r="E3" s="63">
        <v>5.83</v>
      </c>
      <c r="F3" s="63">
        <v>5.91</v>
      </c>
      <c r="G3" s="63">
        <v>6.86</v>
      </c>
      <c r="H3" s="63">
        <v>6.98</v>
      </c>
      <c r="I3" s="63">
        <v>8.52</v>
      </c>
      <c r="J3" s="63">
        <v>10.79</v>
      </c>
      <c r="L3" s="96" t="s">
        <v>2</v>
      </c>
      <c r="M3" s="96"/>
      <c r="N3" s="96"/>
      <c r="O3" s="96"/>
      <c r="P3" s="96"/>
      <c r="Q3" s="96"/>
      <c r="R3" s="67">
        <f>'InvEstatalGEI_Chihuahua13-17 B'!G18/1000</f>
        <v>7.4559975583291447</v>
      </c>
      <c r="S3" s="67">
        <f>'InvEstatalGEI_Chihuahua13-17 B'!H18/1000</f>
        <v>7.5711309101920632</v>
      </c>
      <c r="T3" s="67">
        <f>'InvEstatalGEI_Chihuahua13-17 B'!I18/1000</f>
        <v>6.8025087638073956</v>
      </c>
      <c r="U3" s="67">
        <f>'InvEstatalGEI_Chihuahua13-17 B'!J18/1000</f>
        <v>6.1384415293878494</v>
      </c>
      <c r="V3" s="67">
        <f>'InvEstatalGEI_Chihuahua13-17 B'!K18/1000</f>
        <v>6.1289641910759025</v>
      </c>
    </row>
    <row r="4" spans="1:22" x14ac:dyDescent="0.3">
      <c r="B4" s="61" t="s">
        <v>211</v>
      </c>
      <c r="C4">
        <v>4.3099999999999996</v>
      </c>
      <c r="D4">
        <v>4.04</v>
      </c>
      <c r="E4">
        <v>5.96</v>
      </c>
      <c r="F4">
        <v>6.2</v>
      </c>
      <c r="G4">
        <v>5.55</v>
      </c>
      <c r="H4">
        <v>8.2200000000000006</v>
      </c>
      <c r="I4">
        <v>7.19</v>
      </c>
      <c r="J4">
        <v>7.55</v>
      </c>
    </row>
    <row r="5" spans="1:22" x14ac:dyDescent="0.3">
      <c r="B5" s="62" t="s">
        <v>212</v>
      </c>
      <c r="C5">
        <v>0.23</v>
      </c>
      <c r="D5">
        <v>0.25</v>
      </c>
      <c r="E5">
        <v>0.2</v>
      </c>
      <c r="F5">
        <v>0.02</v>
      </c>
      <c r="G5">
        <v>0</v>
      </c>
      <c r="H5">
        <v>0</v>
      </c>
      <c r="I5">
        <v>0</v>
      </c>
      <c r="J5">
        <v>0</v>
      </c>
    </row>
    <row r="6" spans="1:22" x14ac:dyDescent="0.3">
      <c r="B6" s="62" t="s">
        <v>213</v>
      </c>
      <c r="C6">
        <v>0.79</v>
      </c>
      <c r="D6">
        <v>0.94</v>
      </c>
      <c r="E6">
        <v>2.83</v>
      </c>
      <c r="F6">
        <v>3.67</v>
      </c>
      <c r="G6">
        <v>3.98</v>
      </c>
      <c r="H6">
        <v>7.42</v>
      </c>
      <c r="I6">
        <v>7.19</v>
      </c>
      <c r="J6">
        <v>7.55</v>
      </c>
    </row>
    <row r="7" spans="1:22" x14ac:dyDescent="0.3">
      <c r="B7" s="62" t="s">
        <v>214</v>
      </c>
      <c r="C7">
        <v>3.29</v>
      </c>
      <c r="D7">
        <v>2.85</v>
      </c>
      <c r="E7">
        <v>2.93</v>
      </c>
      <c r="F7">
        <v>2.5099999999999998</v>
      </c>
      <c r="G7">
        <v>1.57</v>
      </c>
      <c r="H7">
        <v>0.81</v>
      </c>
      <c r="I7">
        <v>0</v>
      </c>
      <c r="J7">
        <v>0</v>
      </c>
    </row>
    <row r="8" spans="1:22" x14ac:dyDescent="0.3">
      <c r="B8" s="61" t="s">
        <v>215</v>
      </c>
      <c r="C8">
        <v>-0.3</v>
      </c>
      <c r="D8">
        <v>1.29</v>
      </c>
      <c r="E8">
        <v>-0.13</v>
      </c>
      <c r="F8">
        <v>-0.28999999999999998</v>
      </c>
      <c r="G8">
        <v>1.31</v>
      </c>
      <c r="H8">
        <v>-1.24</v>
      </c>
      <c r="I8">
        <v>1.33</v>
      </c>
      <c r="J8">
        <v>3.24</v>
      </c>
    </row>
    <row r="9" spans="1:22" x14ac:dyDescent="0.3">
      <c r="A9">
        <v>1</v>
      </c>
      <c r="B9" s="63" t="s">
        <v>216</v>
      </c>
      <c r="C9" s="63">
        <v>2.52</v>
      </c>
      <c r="D9" s="63">
        <v>2.5299999999999998</v>
      </c>
      <c r="E9" s="63">
        <v>2.86</v>
      </c>
      <c r="F9" s="63">
        <v>2.37</v>
      </c>
      <c r="G9" s="63">
        <v>2.58</v>
      </c>
      <c r="H9" s="63">
        <v>2.76</v>
      </c>
      <c r="I9" s="63">
        <v>2.96</v>
      </c>
      <c r="J9" s="63">
        <v>3.25</v>
      </c>
      <c r="L9" s="96" t="s">
        <v>261</v>
      </c>
      <c r="M9" s="96"/>
      <c r="N9" s="96"/>
      <c r="O9" s="96"/>
      <c r="P9" s="96"/>
      <c r="Q9" s="96"/>
      <c r="R9" s="67">
        <f>'InvEstatalGEI_Chihuahua13-17 B'!G43/1000+'InvEstatalGEI_Chihuahua13-17 B'!G22/1000</f>
        <v>3.3977144776837824</v>
      </c>
      <c r="S9" s="67">
        <f>'InvEstatalGEI_Chihuahua13-17 B'!H43/1000+'InvEstatalGEI_Chihuahua13-17 B'!H22/1000</f>
        <v>3.2083738045371284</v>
      </c>
      <c r="T9" s="67">
        <f>'InvEstatalGEI_Chihuahua13-17 B'!I43/1000+'InvEstatalGEI_Chihuahua13-17 B'!I22/1000</f>
        <v>2.9539021315845049</v>
      </c>
      <c r="U9" s="67">
        <f>'InvEstatalGEI_Chihuahua13-17 B'!J43/1000+'InvEstatalGEI_Chihuahua13-17 B'!J22/1000</f>
        <v>3.4996615177017105</v>
      </c>
      <c r="V9" s="67">
        <f>'InvEstatalGEI_Chihuahua13-17 B'!K43/1000+'InvEstatalGEI_Chihuahua13-17 B'!K22/1000</f>
        <v>3.6231231754032072</v>
      </c>
    </row>
    <row r="10" spans="1:22" x14ac:dyDescent="0.3">
      <c r="B10" s="61" t="s">
        <v>217</v>
      </c>
      <c r="C10">
        <v>0.08</v>
      </c>
      <c r="D10">
        <v>0.19</v>
      </c>
      <c r="E10">
        <v>0.22</v>
      </c>
      <c r="F10">
        <v>0.08</v>
      </c>
      <c r="G10">
        <v>7.0000000000000007E-2</v>
      </c>
      <c r="H10">
        <v>7.0000000000000007E-2</v>
      </c>
      <c r="I10">
        <v>7.0000000000000007E-2</v>
      </c>
      <c r="J10">
        <v>0.06</v>
      </c>
    </row>
    <row r="11" spans="1:22" x14ac:dyDescent="0.3">
      <c r="B11" s="61" t="s">
        <v>218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22" x14ac:dyDescent="0.3">
      <c r="B12" s="61" t="s">
        <v>219</v>
      </c>
      <c r="C12">
        <v>1.4</v>
      </c>
      <c r="D12">
        <v>1.37</v>
      </c>
      <c r="E12">
        <v>1.0900000000000001</v>
      </c>
      <c r="F12">
        <v>0.94</v>
      </c>
      <c r="G12">
        <v>0.84</v>
      </c>
      <c r="H12">
        <v>0.78</v>
      </c>
      <c r="I12">
        <v>0.74</v>
      </c>
      <c r="J12">
        <v>0.71</v>
      </c>
    </row>
    <row r="13" spans="1:22" x14ac:dyDescent="0.3">
      <c r="B13" s="61" t="s">
        <v>213</v>
      </c>
      <c r="C13">
        <v>1.01</v>
      </c>
      <c r="D13">
        <v>0.93</v>
      </c>
      <c r="E13">
        <v>1.39</v>
      </c>
      <c r="F13">
        <v>1.18</v>
      </c>
      <c r="G13">
        <v>1.46</v>
      </c>
      <c r="H13">
        <v>1.68</v>
      </c>
      <c r="I13">
        <v>1.9</v>
      </c>
      <c r="J13">
        <v>2.2000000000000002</v>
      </c>
    </row>
    <row r="14" spans="1:22" x14ac:dyDescent="0.3">
      <c r="B14" s="61" t="s">
        <v>220</v>
      </c>
      <c r="C14">
        <v>0</v>
      </c>
      <c r="D14">
        <v>0</v>
      </c>
      <c r="E14">
        <v>0.12</v>
      </c>
      <c r="F14">
        <v>0.14000000000000001</v>
      </c>
      <c r="G14">
        <v>0.17</v>
      </c>
      <c r="H14">
        <v>0.19</v>
      </c>
      <c r="I14">
        <v>0.21</v>
      </c>
      <c r="J14">
        <v>0.23</v>
      </c>
    </row>
    <row r="15" spans="1:22" x14ac:dyDescent="0.3">
      <c r="B15" s="61" t="s">
        <v>221</v>
      </c>
      <c r="C15">
        <v>0.03</v>
      </c>
      <c r="D15">
        <v>0.04</v>
      </c>
      <c r="E15">
        <v>0.04</v>
      </c>
      <c r="F15">
        <v>0.04</v>
      </c>
      <c r="G15">
        <v>0.04</v>
      </c>
      <c r="H15">
        <v>0.04</v>
      </c>
      <c r="I15">
        <v>0.05</v>
      </c>
      <c r="J15">
        <v>0.05</v>
      </c>
    </row>
    <row r="16" spans="1:22" x14ac:dyDescent="0.3">
      <c r="A16">
        <v>1</v>
      </c>
      <c r="B16" s="63" t="s">
        <v>222</v>
      </c>
      <c r="C16" s="63">
        <v>3.37</v>
      </c>
      <c r="D16" s="63">
        <v>4.3600000000000003</v>
      </c>
      <c r="E16" s="63">
        <v>4.49</v>
      </c>
      <c r="F16" s="63">
        <v>5.6</v>
      </c>
      <c r="G16" s="63">
        <v>7.02</v>
      </c>
      <c r="H16" s="63">
        <v>8.1199999999999992</v>
      </c>
      <c r="I16" s="63">
        <v>8.98</v>
      </c>
      <c r="J16" s="63">
        <v>9.85</v>
      </c>
      <c r="L16" s="96" t="s">
        <v>20</v>
      </c>
      <c r="M16" s="96"/>
      <c r="N16" s="96"/>
      <c r="O16" s="96"/>
      <c r="P16" s="96"/>
      <c r="Q16" s="96"/>
      <c r="R16" s="67">
        <f>'InvEstatalGEI_Chihuahua13-17 B'!G36/1000</f>
        <v>6.6309269685354639</v>
      </c>
      <c r="S16" s="67">
        <f>'InvEstatalGEI_Chihuahua13-17 B'!H36/1000</f>
        <v>6.5856963863130256</v>
      </c>
      <c r="T16" s="67">
        <f>'InvEstatalGEI_Chihuahua13-17 B'!I36/1000</f>
        <v>7.0733582424346908</v>
      </c>
      <c r="U16" s="67">
        <f>'InvEstatalGEI_Chihuahua13-17 B'!J36/1000</f>
        <v>7.242235401007604</v>
      </c>
      <c r="V16" s="67">
        <f>'InvEstatalGEI_Chihuahua13-17 B'!K36/1000</f>
        <v>7.1143124491731067</v>
      </c>
    </row>
    <row r="17" spans="1:22" x14ac:dyDescent="0.3">
      <c r="B17" s="61" t="s">
        <v>223</v>
      </c>
      <c r="C17">
        <v>1.95</v>
      </c>
      <c r="D17">
        <v>2.88</v>
      </c>
      <c r="E17">
        <v>3.05</v>
      </c>
      <c r="F17">
        <v>3.84</v>
      </c>
      <c r="G17">
        <v>4.57</v>
      </c>
      <c r="H17">
        <v>5.26</v>
      </c>
      <c r="I17">
        <v>5.77</v>
      </c>
      <c r="J17">
        <v>6.29</v>
      </c>
    </row>
    <row r="18" spans="1:22" x14ac:dyDescent="0.3">
      <c r="B18" s="61" t="s">
        <v>224</v>
      </c>
      <c r="C18">
        <v>0.96</v>
      </c>
      <c r="D18">
        <v>1.1299999999999999</v>
      </c>
      <c r="E18">
        <v>0.97</v>
      </c>
      <c r="F18">
        <v>1.37</v>
      </c>
      <c r="G18">
        <v>2.1</v>
      </c>
      <c r="H18">
        <v>2.4900000000000002</v>
      </c>
      <c r="I18">
        <v>2.81</v>
      </c>
      <c r="J18">
        <v>3.14</v>
      </c>
    </row>
    <row r="19" spans="1:22" x14ac:dyDescent="0.3">
      <c r="B19" s="61" t="s">
        <v>225</v>
      </c>
      <c r="C19">
        <v>0.02</v>
      </c>
      <c r="D19">
        <v>0.05</v>
      </c>
      <c r="E19">
        <v>0.21</v>
      </c>
      <c r="F19">
        <v>0.2</v>
      </c>
      <c r="G19">
        <v>0.08</v>
      </c>
      <c r="H19">
        <v>7.0000000000000007E-2</v>
      </c>
      <c r="I19">
        <v>7.0000000000000007E-2</v>
      </c>
      <c r="J19">
        <v>7.0000000000000007E-2</v>
      </c>
    </row>
    <row r="20" spans="1:22" x14ac:dyDescent="0.3">
      <c r="B20" s="61" t="s">
        <v>226</v>
      </c>
      <c r="C20">
        <v>0</v>
      </c>
      <c r="D20">
        <v>0</v>
      </c>
      <c r="E20">
        <v>0</v>
      </c>
      <c r="F20">
        <v>0</v>
      </c>
      <c r="G20">
        <v>0.01</v>
      </c>
      <c r="H20">
        <v>0.01</v>
      </c>
      <c r="I20">
        <v>0.02</v>
      </c>
      <c r="J20">
        <v>0.03</v>
      </c>
    </row>
    <row r="21" spans="1:22" x14ac:dyDescent="0.3">
      <c r="B21" s="61" t="s">
        <v>227</v>
      </c>
      <c r="C21">
        <v>0.22</v>
      </c>
      <c r="D21">
        <v>0.11</v>
      </c>
      <c r="E21">
        <v>7.0000000000000007E-2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22" x14ac:dyDescent="0.3">
      <c r="B22" s="61" t="s">
        <v>228</v>
      </c>
      <c r="C22">
        <v>0.22</v>
      </c>
      <c r="D22">
        <v>0.19</v>
      </c>
      <c r="E22">
        <v>0.19</v>
      </c>
      <c r="F22">
        <v>0.2</v>
      </c>
      <c r="G22">
        <v>0.26</v>
      </c>
      <c r="H22">
        <v>0.28999999999999998</v>
      </c>
      <c r="I22">
        <v>0.31</v>
      </c>
      <c r="J22">
        <v>0.33</v>
      </c>
    </row>
    <row r="23" spans="1:22" x14ac:dyDescent="0.3">
      <c r="A23">
        <v>1</v>
      </c>
      <c r="B23" s="63" t="s">
        <v>229</v>
      </c>
      <c r="C23" s="63">
        <v>0</v>
      </c>
      <c r="D23" s="63">
        <v>0</v>
      </c>
      <c r="E23" s="63">
        <v>0.05</v>
      </c>
      <c r="F23" s="63">
        <v>0.11</v>
      </c>
      <c r="G23" s="63">
        <v>0.2</v>
      </c>
      <c r="H23" s="63">
        <v>0.21</v>
      </c>
      <c r="I23" s="63">
        <v>0.21</v>
      </c>
      <c r="J23" s="63">
        <v>0.22</v>
      </c>
      <c r="L23" s="96" t="s">
        <v>169</v>
      </c>
      <c r="M23" s="96"/>
      <c r="N23" s="96"/>
      <c r="O23" s="96"/>
      <c r="P23" s="96"/>
      <c r="Q23" s="96"/>
      <c r="R23" s="67">
        <f>'InvEstatalGEI_Chihuahua13-17 B'!G53/1000</f>
        <v>0.24247659350658463</v>
      </c>
      <c r="S23" s="67">
        <f>'InvEstatalGEI_Chihuahua13-17 B'!H53/1000</f>
        <v>0.36588374733856438</v>
      </c>
      <c r="T23" s="67">
        <f>'InvEstatalGEI_Chihuahua13-17 B'!I53/1000</f>
        <v>0.6843785163339986</v>
      </c>
      <c r="U23" s="67">
        <f>'InvEstatalGEI_Chihuahua13-17 B'!J53/1000</f>
        <v>0</v>
      </c>
      <c r="V23" s="67">
        <f>'InvEstatalGEI_Chihuahua13-17 B'!K53/1000</f>
        <v>0</v>
      </c>
    </row>
    <row r="24" spans="1:22" x14ac:dyDescent="0.3">
      <c r="B24" s="61" t="s">
        <v>230</v>
      </c>
      <c r="C24">
        <v>0</v>
      </c>
      <c r="D24">
        <v>0</v>
      </c>
      <c r="E24">
        <v>0.01</v>
      </c>
      <c r="F24">
        <v>0.01</v>
      </c>
      <c r="G24">
        <v>0.01</v>
      </c>
      <c r="H24">
        <v>0.01</v>
      </c>
      <c r="I24">
        <v>0.01</v>
      </c>
      <c r="J24">
        <v>0.01</v>
      </c>
    </row>
    <row r="25" spans="1:22" x14ac:dyDescent="0.3">
      <c r="B25" s="61" t="s">
        <v>231</v>
      </c>
      <c r="C25">
        <v>0</v>
      </c>
      <c r="D25">
        <v>0</v>
      </c>
      <c r="E25">
        <v>0.04</v>
      </c>
      <c r="F25">
        <v>0.11</v>
      </c>
      <c r="G25">
        <v>0.19</v>
      </c>
      <c r="H25">
        <v>0.2</v>
      </c>
      <c r="I25">
        <v>0.2</v>
      </c>
      <c r="J25">
        <v>0.21</v>
      </c>
    </row>
    <row r="26" spans="1:22" x14ac:dyDescent="0.3">
      <c r="A26">
        <v>1</v>
      </c>
      <c r="B26" s="63" t="s">
        <v>232</v>
      </c>
      <c r="C26" s="63">
        <v>0.98</v>
      </c>
      <c r="D26" s="63">
        <v>1.17</v>
      </c>
      <c r="E26" s="63">
        <v>1.59</v>
      </c>
      <c r="F26" s="63">
        <v>2.1</v>
      </c>
      <c r="G26" s="63">
        <v>2.25</v>
      </c>
      <c r="H26" s="63">
        <v>2.64</v>
      </c>
      <c r="I26" s="63">
        <v>3.04</v>
      </c>
      <c r="J26" s="63">
        <v>3.44</v>
      </c>
      <c r="L26" s="96" t="s">
        <v>37</v>
      </c>
      <c r="M26" s="96"/>
      <c r="N26" s="96"/>
      <c r="O26" s="96"/>
      <c r="P26" s="96"/>
      <c r="Q26" s="96"/>
      <c r="R26" s="67">
        <f>'InvEstatalGEI_Chihuahua13-17 B'!G55/1000</f>
        <v>0.80832280504978249</v>
      </c>
      <c r="S26" s="67">
        <f>'InvEstatalGEI_Chihuahua13-17 B'!H55/1000</f>
        <v>0.83225477426014272</v>
      </c>
      <c r="T26" s="67">
        <f>'InvEstatalGEI_Chihuahua13-17 B'!I55/1000</f>
        <v>0.8453474088702736</v>
      </c>
      <c r="U26" s="67">
        <f>'InvEstatalGEI_Chihuahua13-17 B'!J55/1000</f>
        <v>0.88690262961005606</v>
      </c>
      <c r="V26" s="67">
        <f>'InvEstatalGEI_Chihuahua13-17 B'!K55/1000</f>
        <v>0.86953874770951034</v>
      </c>
    </row>
    <row r="27" spans="1:22" x14ac:dyDescent="0.3">
      <c r="B27" s="61" t="s">
        <v>233</v>
      </c>
      <c r="C27">
        <v>0.18</v>
      </c>
      <c r="D27">
        <v>0.24</v>
      </c>
      <c r="E27">
        <v>0.3</v>
      </c>
      <c r="F27">
        <v>0.42</v>
      </c>
      <c r="G27">
        <v>0.62</v>
      </c>
      <c r="H27">
        <v>0.78</v>
      </c>
      <c r="I27">
        <v>0.93</v>
      </c>
      <c r="J27">
        <v>1.0900000000000001</v>
      </c>
    </row>
    <row r="28" spans="1:22" x14ac:dyDescent="0.3">
      <c r="B28" s="61" t="s">
        <v>234</v>
      </c>
      <c r="C28">
        <v>0.38</v>
      </c>
      <c r="D28">
        <v>0.38</v>
      </c>
      <c r="E28">
        <v>0.38</v>
      </c>
      <c r="F28">
        <v>0.65</v>
      </c>
      <c r="G28">
        <v>0.61</v>
      </c>
      <c r="H28">
        <v>0.72</v>
      </c>
      <c r="I28">
        <v>0.83</v>
      </c>
      <c r="J28">
        <v>0.94</v>
      </c>
    </row>
    <row r="29" spans="1:22" x14ac:dyDescent="0.3">
      <c r="B29" s="61" t="s">
        <v>235</v>
      </c>
      <c r="C29">
        <v>0.32</v>
      </c>
      <c r="D29">
        <v>0.45</v>
      </c>
      <c r="E29">
        <v>0.77</v>
      </c>
      <c r="F29">
        <v>0.87</v>
      </c>
      <c r="G29">
        <v>0.81</v>
      </c>
      <c r="H29">
        <v>0.91</v>
      </c>
      <c r="I29">
        <v>1.01</v>
      </c>
      <c r="J29">
        <v>1.1200000000000001</v>
      </c>
    </row>
    <row r="30" spans="1:22" x14ac:dyDescent="0.3">
      <c r="B30" s="61" t="s">
        <v>236</v>
      </c>
      <c r="C30">
        <v>0.09</v>
      </c>
      <c r="D30">
        <v>0.11</v>
      </c>
      <c r="E30">
        <v>0.13</v>
      </c>
      <c r="F30">
        <v>0.17</v>
      </c>
      <c r="G30">
        <v>0.2</v>
      </c>
      <c r="H30">
        <v>0.24</v>
      </c>
      <c r="I30">
        <v>0.27</v>
      </c>
      <c r="J30">
        <v>0.3</v>
      </c>
    </row>
    <row r="31" spans="1:22" x14ac:dyDescent="0.3">
      <c r="A31">
        <v>1</v>
      </c>
      <c r="B31" s="63" t="s">
        <v>237</v>
      </c>
      <c r="C31" s="63">
        <v>0.73</v>
      </c>
      <c r="D31" s="63">
        <v>0.82</v>
      </c>
      <c r="E31" s="63">
        <v>0.91</v>
      </c>
      <c r="F31" s="63">
        <v>1.02</v>
      </c>
      <c r="G31" s="63">
        <v>0.89</v>
      </c>
      <c r="H31" s="63">
        <v>0.88</v>
      </c>
      <c r="I31" s="63">
        <v>0.93</v>
      </c>
      <c r="J31" s="63">
        <v>1.03</v>
      </c>
      <c r="L31" s="96" t="s">
        <v>140</v>
      </c>
      <c r="M31" s="96"/>
      <c r="N31" s="96"/>
      <c r="O31" s="96"/>
      <c r="P31" s="96"/>
      <c r="Q31" s="96"/>
      <c r="R31" s="67">
        <f>'InvEstatalGEI_Chihuahua13-17 B'!G165/1000</f>
        <v>1.2903577311375407</v>
      </c>
      <c r="S31" s="67">
        <f>'InvEstatalGEI_Chihuahua13-17 B'!H165/1000</f>
        <v>1.3231879014725223</v>
      </c>
      <c r="T31" s="67">
        <f>'InvEstatalGEI_Chihuahua13-17 B'!I165/1000</f>
        <v>1.3525798070997981</v>
      </c>
      <c r="U31" s="67">
        <f>'InvEstatalGEI_Chihuahua13-17 B'!J165/1000</f>
        <v>1.3749305046177966</v>
      </c>
      <c r="V31" s="67">
        <f>'InvEstatalGEI_Chihuahua13-17 B'!K165/1000</f>
        <v>1.4018509740522795</v>
      </c>
    </row>
    <row r="32" spans="1:22" x14ac:dyDescent="0.3">
      <c r="B32" s="61" t="s">
        <v>238</v>
      </c>
      <c r="C32">
        <v>0.28999999999999998</v>
      </c>
      <c r="D32">
        <v>0.34</v>
      </c>
      <c r="E32">
        <v>0.37</v>
      </c>
      <c r="F32">
        <v>0.39</v>
      </c>
      <c r="G32">
        <v>0.4</v>
      </c>
      <c r="H32">
        <v>0.42</v>
      </c>
      <c r="I32">
        <v>0.43</v>
      </c>
      <c r="J32">
        <v>0.45</v>
      </c>
    </row>
    <row r="33" spans="1:22" x14ac:dyDescent="0.3">
      <c r="B33" s="61" t="s">
        <v>239</v>
      </c>
      <c r="C33">
        <v>0.01</v>
      </c>
      <c r="D33">
        <v>0.01</v>
      </c>
      <c r="E33">
        <v>0.01</v>
      </c>
      <c r="F33">
        <v>0.01</v>
      </c>
      <c r="G33">
        <v>0.01</v>
      </c>
      <c r="H33">
        <v>0.01</v>
      </c>
      <c r="I33">
        <v>0.01</v>
      </c>
      <c r="J33">
        <v>0.01</v>
      </c>
    </row>
    <row r="34" spans="1:22" x14ac:dyDescent="0.3">
      <c r="B34" s="61" t="s">
        <v>240</v>
      </c>
      <c r="C34">
        <v>0.33</v>
      </c>
      <c r="D34">
        <v>0.37</v>
      </c>
      <c r="E34">
        <v>0.41</v>
      </c>
      <c r="F34">
        <v>0.46</v>
      </c>
      <c r="G34">
        <v>0.33</v>
      </c>
      <c r="H34">
        <v>0.3</v>
      </c>
      <c r="I34">
        <v>0.34</v>
      </c>
      <c r="J34">
        <v>0.42</v>
      </c>
    </row>
    <row r="35" spans="1:22" x14ac:dyDescent="0.3">
      <c r="B35" s="61" t="s">
        <v>241</v>
      </c>
      <c r="C35">
        <v>0.1</v>
      </c>
      <c r="D35">
        <v>0.12</v>
      </c>
      <c r="E35">
        <v>0.13</v>
      </c>
      <c r="F35">
        <v>0.16</v>
      </c>
      <c r="G35">
        <v>0.16</v>
      </c>
      <c r="H35">
        <v>0.16</v>
      </c>
      <c r="I35">
        <v>0.15</v>
      </c>
      <c r="J35">
        <v>0.15</v>
      </c>
    </row>
    <row r="36" spans="1:22" x14ac:dyDescent="0.3">
      <c r="B36" s="61" t="s">
        <v>242</v>
      </c>
      <c r="C36">
        <v>-0.08</v>
      </c>
      <c r="D36">
        <v>-0.08</v>
      </c>
      <c r="E36">
        <v>-0.1</v>
      </c>
      <c r="F36">
        <v>-0.09</v>
      </c>
      <c r="G36">
        <v>-0.1</v>
      </c>
      <c r="H36">
        <v>-0.11</v>
      </c>
      <c r="I36">
        <v>-0.12</v>
      </c>
      <c r="J36">
        <v>0</v>
      </c>
    </row>
    <row r="37" spans="1:22" x14ac:dyDescent="0.3">
      <c r="A37">
        <v>1</v>
      </c>
      <c r="B37" s="63" t="s">
        <v>243</v>
      </c>
      <c r="C37" s="63">
        <v>3.64</v>
      </c>
      <c r="D37" s="63">
        <v>3.46</v>
      </c>
      <c r="E37" s="63">
        <v>2.38</v>
      </c>
      <c r="F37" s="63">
        <v>2.5499999999999998</v>
      </c>
      <c r="G37" s="63">
        <v>2.76</v>
      </c>
      <c r="H37" s="63">
        <v>3</v>
      </c>
      <c r="I37" s="63">
        <v>3.27</v>
      </c>
      <c r="J37" s="63">
        <v>3.54</v>
      </c>
      <c r="L37" s="96" t="s">
        <v>254</v>
      </c>
      <c r="M37" s="96"/>
      <c r="N37" s="96"/>
      <c r="O37" s="96"/>
      <c r="P37" s="96"/>
      <c r="Q37" s="96"/>
      <c r="R37" s="67">
        <f>('InvEstatalGEI_Chihuahua13-17 B'!G109+'InvEstatalGEI_Chihuahua13-17 B'!G135)/1000</f>
        <v>8.483909455530398</v>
      </c>
      <c r="S37" s="67">
        <f>('InvEstatalGEI_Chihuahua13-17 B'!H109+'InvEstatalGEI_Chihuahua13-17 B'!H135)/1000</f>
        <v>8.5504806922108241</v>
      </c>
      <c r="T37" s="67">
        <f>('InvEstatalGEI_Chihuahua13-17 B'!I109+'InvEstatalGEI_Chihuahua13-17 B'!I135)/1000</f>
        <v>8.874787964707723</v>
      </c>
      <c r="U37" s="67">
        <f>('InvEstatalGEI_Chihuahua13-17 B'!J109+'InvEstatalGEI_Chihuahua13-17 B'!J135)/1000</f>
        <v>9.8772718909928265</v>
      </c>
      <c r="V37" s="67">
        <f>('InvEstatalGEI_Chihuahua13-17 B'!K109+'InvEstatalGEI_Chihuahua13-17 B'!K135)/1000</f>
        <v>10.185412047867223</v>
      </c>
    </row>
    <row r="38" spans="1:22" x14ac:dyDescent="0.3">
      <c r="B38" s="61" t="s">
        <v>244</v>
      </c>
      <c r="C38">
        <v>2.23</v>
      </c>
      <c r="D38">
        <v>2.19</v>
      </c>
      <c r="E38">
        <v>1.39</v>
      </c>
      <c r="F38">
        <v>1.54</v>
      </c>
      <c r="G38">
        <v>1.7</v>
      </c>
      <c r="H38">
        <v>1.88</v>
      </c>
      <c r="I38">
        <v>2.08</v>
      </c>
      <c r="J38">
        <v>2.2599999999999998</v>
      </c>
    </row>
    <row r="39" spans="1:22" x14ac:dyDescent="0.3">
      <c r="B39" s="61" t="s">
        <v>245</v>
      </c>
      <c r="C39">
        <v>0.05</v>
      </c>
      <c r="D39">
        <v>0.06</v>
      </c>
      <c r="E39">
        <v>0.04</v>
      </c>
      <c r="F39">
        <v>0.04</v>
      </c>
      <c r="G39">
        <v>0.05</v>
      </c>
      <c r="H39">
        <v>0.05</v>
      </c>
      <c r="I39">
        <v>0.06</v>
      </c>
      <c r="J39">
        <v>7.0000000000000007E-2</v>
      </c>
    </row>
    <row r="40" spans="1:22" x14ac:dyDescent="0.3">
      <c r="B40" s="61" t="s">
        <v>246</v>
      </c>
      <c r="C40">
        <v>1.35</v>
      </c>
      <c r="D40">
        <v>1.21</v>
      </c>
      <c r="E40">
        <v>0.96</v>
      </c>
      <c r="F40">
        <v>0.97</v>
      </c>
      <c r="G40">
        <v>1.02</v>
      </c>
      <c r="H40">
        <v>1.07</v>
      </c>
      <c r="I40">
        <v>1.1299999999999999</v>
      </c>
      <c r="J40">
        <v>1.21</v>
      </c>
    </row>
    <row r="41" spans="1:22" ht="15.6" x14ac:dyDescent="0.35">
      <c r="A41">
        <v>1</v>
      </c>
      <c r="B41" s="63" t="s">
        <v>247</v>
      </c>
      <c r="C41" s="63">
        <f>-7.09</f>
        <v>-7.09</v>
      </c>
      <c r="D41" s="63">
        <v>-7.65</v>
      </c>
      <c r="E41" s="63">
        <v>-6.52</v>
      </c>
      <c r="F41" s="63">
        <v>-7.85</v>
      </c>
      <c r="G41" s="63">
        <v>-8.36</v>
      </c>
      <c r="H41" s="63">
        <v>-8.36</v>
      </c>
      <c r="I41" s="63">
        <v>-8.36</v>
      </c>
      <c r="J41" s="63">
        <v>-8.36</v>
      </c>
      <c r="L41" s="96" t="s">
        <v>263</v>
      </c>
      <c r="M41" s="96"/>
      <c r="N41" s="96"/>
      <c r="O41" s="96"/>
      <c r="P41" s="96"/>
      <c r="Q41" s="96"/>
      <c r="R41" s="67">
        <f>('InvEstatalGEI_Chihuahua13-17 B'!G131-'InvEstatalGEI_Chihuahua13-17 B'!G135+'InvEstatalGEI_Chihuahua13-17 B'!G150)/1000</f>
        <v>-11.333902218189225</v>
      </c>
      <c r="S41" s="67">
        <f>('InvEstatalGEI_Chihuahua13-17 B'!H131-'InvEstatalGEI_Chihuahua13-17 B'!H135+'InvEstatalGEI_Chihuahua13-17 B'!H150)/1000</f>
        <v>-11.285016124522803</v>
      </c>
      <c r="T41" s="67">
        <f>('InvEstatalGEI_Chihuahua13-17 B'!I131-'InvEstatalGEI_Chihuahua13-17 B'!I135+'InvEstatalGEI_Chihuahua13-17 B'!I150)/1000</f>
        <v>-11.448823253795149</v>
      </c>
      <c r="U41" s="67">
        <f>('InvEstatalGEI_Chihuahua13-17 B'!J131-'InvEstatalGEI_Chihuahua13-17 B'!J135+'InvEstatalGEI_Chihuahua13-17 B'!J150)/1000</f>
        <v>-11.109115632252426</v>
      </c>
      <c r="V41" s="67">
        <f>('InvEstatalGEI_Chihuahua13-17 B'!K131-'InvEstatalGEI_Chihuahua13-17 B'!K135+'InvEstatalGEI_Chihuahua13-17 B'!K150)/1000</f>
        <v>-11.056224493597341</v>
      </c>
    </row>
    <row r="42" spans="1:22" x14ac:dyDescent="0.3">
      <c r="B42" s="61" t="s">
        <v>248</v>
      </c>
      <c r="C42">
        <v>-7.24</v>
      </c>
      <c r="D42">
        <v>-7.69</v>
      </c>
      <c r="E42">
        <v>-6.57</v>
      </c>
      <c r="F42">
        <v>-7.75</v>
      </c>
      <c r="G42">
        <v>-8.31</v>
      </c>
      <c r="H42">
        <v>-8.31</v>
      </c>
      <c r="I42">
        <v>-8.31</v>
      </c>
      <c r="J42">
        <v>-8.31</v>
      </c>
    </row>
    <row r="43" spans="1:22" x14ac:dyDescent="0.3">
      <c r="B43" s="61" t="s">
        <v>249</v>
      </c>
      <c r="C43">
        <v>0.15</v>
      </c>
      <c r="D43">
        <v>0.06</v>
      </c>
      <c r="E43">
        <v>0.06</v>
      </c>
      <c r="F43">
        <v>0.01</v>
      </c>
      <c r="G43">
        <v>0.02</v>
      </c>
      <c r="H43">
        <v>0.02</v>
      </c>
      <c r="I43">
        <v>0.02</v>
      </c>
      <c r="J43">
        <v>0.02</v>
      </c>
    </row>
    <row r="44" spans="1:22" x14ac:dyDescent="0.3">
      <c r="B44" s="61" t="s">
        <v>250</v>
      </c>
      <c r="C44">
        <v>0.01</v>
      </c>
      <c r="D44">
        <v>-0.02</v>
      </c>
      <c r="E44">
        <v>-0.01</v>
      </c>
      <c r="F44">
        <v>-0.1</v>
      </c>
      <c r="G44">
        <v>-0.06</v>
      </c>
      <c r="H44">
        <v>-0.06</v>
      </c>
      <c r="I44">
        <v>-0.06</v>
      </c>
      <c r="J44">
        <v>-0.06</v>
      </c>
    </row>
    <row r="45" spans="1:22" x14ac:dyDescent="0.3">
      <c r="B45" s="64" t="s">
        <v>251</v>
      </c>
      <c r="C45" s="65">
        <f>SUMIF($A$3:$A$44,1,C$3:C$44)</f>
        <v>8.1700000000000017</v>
      </c>
      <c r="D45" s="65">
        <f t="shared" ref="D45:J45" si="0">SUMIF($A$3:$A$44,1,D$3:D$44)</f>
        <v>10.029999999999999</v>
      </c>
      <c r="E45" s="65">
        <f t="shared" si="0"/>
        <v>11.59</v>
      </c>
      <c r="F45" s="65">
        <f t="shared" si="0"/>
        <v>11.81</v>
      </c>
      <c r="G45" s="65">
        <f t="shared" si="0"/>
        <v>14.200000000000003</v>
      </c>
      <c r="H45" s="65">
        <f t="shared" si="0"/>
        <v>16.23</v>
      </c>
      <c r="I45" s="65">
        <f t="shared" si="0"/>
        <v>19.55</v>
      </c>
      <c r="J45" s="65">
        <f t="shared" si="0"/>
        <v>23.760000000000005</v>
      </c>
      <c r="L45" s="105" t="s">
        <v>260</v>
      </c>
      <c r="M45" s="105"/>
      <c r="N45" s="105"/>
      <c r="O45" s="105"/>
      <c r="P45" s="105"/>
      <c r="Q45" s="105"/>
      <c r="R45" s="85">
        <f t="shared" ref="R45:V45" si="1">SUMIF($A$3:$A$44,1,R$3:R$44)</f>
        <v>16.975803371583474</v>
      </c>
      <c r="S45" s="85">
        <f t="shared" si="1"/>
        <v>17.151992091801468</v>
      </c>
      <c r="T45" s="85">
        <f t="shared" si="1"/>
        <v>17.138039581043238</v>
      </c>
      <c r="U45" s="85">
        <f t="shared" si="1"/>
        <v>17.910327841065417</v>
      </c>
      <c r="V45" s="85">
        <f t="shared" si="1"/>
        <v>18.266977091683884</v>
      </c>
    </row>
    <row r="46" spans="1:22" x14ac:dyDescent="0.3">
      <c r="B46" s="104" t="s">
        <v>259</v>
      </c>
      <c r="C46" s="104"/>
      <c r="D46" s="104"/>
      <c r="E46" s="104"/>
      <c r="F46" s="104"/>
      <c r="G46" s="104"/>
      <c r="H46" s="104"/>
      <c r="I46" s="104"/>
      <c r="J46" s="104"/>
      <c r="L46" s="106" t="s">
        <v>262</v>
      </c>
      <c r="M46" s="106"/>
      <c r="N46" s="106"/>
      <c r="O46" s="106"/>
      <c r="P46" s="106"/>
      <c r="Q46" s="106"/>
      <c r="R46" s="106"/>
      <c r="S46" s="106"/>
      <c r="T46" s="106"/>
      <c r="U46" s="106"/>
      <c r="V46" s="106"/>
    </row>
    <row r="47" spans="1:22" x14ac:dyDescent="0.3">
      <c r="B47" s="104"/>
      <c r="C47" s="104"/>
      <c r="D47" s="104"/>
      <c r="E47" s="104"/>
      <c r="F47" s="104"/>
      <c r="G47" s="104"/>
      <c r="H47" s="104"/>
      <c r="I47" s="104"/>
      <c r="J47" s="104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</row>
    <row r="48" spans="1:22" x14ac:dyDescent="0.3">
      <c r="L48" s="86"/>
      <c r="M48" s="86"/>
      <c r="N48" s="86"/>
      <c r="O48" s="86"/>
      <c r="P48" s="86"/>
      <c r="Q48" s="86"/>
      <c r="R48" s="87"/>
      <c r="S48" s="87"/>
      <c r="T48" s="87"/>
      <c r="U48" s="87"/>
      <c r="V48" s="87"/>
    </row>
    <row r="49" spans="12:22" x14ac:dyDescent="0.3">
      <c r="L49" s="90"/>
      <c r="M49" s="90"/>
      <c r="N49" s="90"/>
      <c r="O49" s="90"/>
      <c r="P49" s="90"/>
      <c r="Q49" s="90"/>
      <c r="R49" s="88"/>
      <c r="S49" s="88"/>
      <c r="T49" s="88"/>
      <c r="U49" s="88"/>
      <c r="V49" s="88"/>
    </row>
    <row r="50" spans="12:22" x14ac:dyDescent="0.3"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</row>
    <row r="51" spans="12:22" x14ac:dyDescent="0.3"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</row>
    <row r="52" spans="12:22" x14ac:dyDescent="0.3"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</row>
    <row r="53" spans="12:22" x14ac:dyDescent="0.3">
      <c r="L53" s="91"/>
      <c r="M53" s="91"/>
      <c r="N53" s="91"/>
      <c r="O53" s="91"/>
      <c r="P53" s="91"/>
      <c r="Q53" s="91"/>
      <c r="R53" s="89"/>
      <c r="S53" s="89"/>
      <c r="T53" s="89"/>
      <c r="U53" s="89"/>
      <c r="V53" s="89"/>
    </row>
    <row r="54" spans="12:22" x14ac:dyDescent="0.3"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</row>
    <row r="55" spans="12:22" x14ac:dyDescent="0.3"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</row>
    <row r="56" spans="12:22" x14ac:dyDescent="0.3"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</row>
  </sheetData>
  <mergeCells count="12">
    <mergeCell ref="L26:Q26"/>
    <mergeCell ref="L3:Q3"/>
    <mergeCell ref="R1:V1"/>
    <mergeCell ref="L9:Q9"/>
    <mergeCell ref="L16:Q16"/>
    <mergeCell ref="L23:Q23"/>
    <mergeCell ref="B46:J47"/>
    <mergeCell ref="L45:Q45"/>
    <mergeCell ref="L46:V47"/>
    <mergeCell ref="L31:Q31"/>
    <mergeCell ref="L37:Q37"/>
    <mergeCell ref="L41:Q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E658-8CAD-4C41-AE2D-3C915CFB4427}">
  <dimension ref="A13:L31"/>
  <sheetViews>
    <sheetView topLeftCell="A10" zoomScaleNormal="100" workbookViewId="0">
      <selection activeCell="G36" sqref="G36"/>
    </sheetView>
  </sheetViews>
  <sheetFormatPr defaultColWidth="8.88671875" defaultRowHeight="14.4" x14ac:dyDescent="0.3"/>
  <cols>
    <col min="1" max="11" width="11.44140625" customWidth="1"/>
  </cols>
  <sheetData>
    <row r="13" spans="1:12" ht="15.6" x14ac:dyDescent="0.3">
      <c r="A13" s="11" t="s">
        <v>166</v>
      </c>
      <c r="B13" s="11"/>
      <c r="C13" s="11"/>
      <c r="D13" s="11"/>
      <c r="E13" s="11"/>
      <c r="F13" s="11"/>
      <c r="G13" s="36">
        <v>2013</v>
      </c>
      <c r="H13" s="36">
        <v>2014</v>
      </c>
      <c r="I13" s="36">
        <v>2015</v>
      </c>
      <c r="J13" s="36">
        <v>2016</v>
      </c>
      <c r="K13" s="36">
        <v>2017</v>
      </c>
    </row>
    <row r="14" spans="1:12" ht="18" x14ac:dyDescent="0.3">
      <c r="A14" s="110" t="s">
        <v>172</v>
      </c>
      <c r="B14" s="110"/>
      <c r="C14" s="110"/>
      <c r="D14" s="110"/>
      <c r="E14" s="110"/>
      <c r="F14" s="110"/>
      <c r="G14" s="37"/>
      <c r="H14" s="37"/>
      <c r="I14" s="37"/>
      <c r="J14" s="37"/>
      <c r="K14" s="37"/>
    </row>
    <row r="15" spans="1:12" ht="18" x14ac:dyDescent="0.3">
      <c r="A15" s="110" t="s">
        <v>173</v>
      </c>
      <c r="B15" s="110"/>
      <c r="C15" s="110"/>
      <c r="D15" s="110"/>
      <c r="E15" s="110"/>
      <c r="F15" s="110"/>
      <c r="G15" s="37"/>
      <c r="H15" s="37"/>
      <c r="I15" s="37"/>
      <c r="J15" s="37"/>
      <c r="K15" s="37"/>
    </row>
    <row r="16" spans="1:12" ht="15.6" x14ac:dyDescent="0.3">
      <c r="A16" s="112" t="s">
        <v>0</v>
      </c>
      <c r="B16" s="113"/>
      <c r="C16" s="113"/>
      <c r="D16" s="113"/>
      <c r="E16" s="113"/>
      <c r="F16" s="114"/>
      <c r="G16" s="38">
        <f>'InvEstatalGEI_Chihuahua13-17 B'!G16</f>
        <v>17727.115598054977</v>
      </c>
      <c r="H16" s="38">
        <f>'InvEstatalGEI_Chihuahua13-17 B'!H16</f>
        <v>17731.084848380782</v>
      </c>
      <c r="I16" s="38">
        <f>'InvEstatalGEI_Chihuahua13-17 B'!I16</f>
        <v>17514.147654160588</v>
      </c>
      <c r="J16" s="38">
        <f>'InvEstatalGEI_Chihuahua13-17 B'!J16</f>
        <v>16880.338448097162</v>
      </c>
      <c r="K16" s="38">
        <f>'InvEstatalGEI_Chihuahua13-17 B'!K16</f>
        <v>16866.399815652218</v>
      </c>
      <c r="L16" s="22"/>
    </row>
    <row r="17" spans="1:12" x14ac:dyDescent="0.3">
      <c r="A17" s="109" t="s">
        <v>1</v>
      </c>
      <c r="B17" s="109"/>
      <c r="C17" s="109"/>
      <c r="D17" s="109"/>
      <c r="E17" s="109"/>
      <c r="F17" s="109"/>
      <c r="G17" s="38">
        <f>'InvEstatalGEI_Chihuahua13-17 B'!G17</f>
        <v>17484.639004548393</v>
      </c>
      <c r="H17" s="38">
        <f>'InvEstatalGEI_Chihuahua13-17 B'!H17</f>
        <v>17365.201101042217</v>
      </c>
      <c r="I17" s="38">
        <f>'InvEstatalGEI_Chihuahua13-17 B'!I17</f>
        <v>16829.769137826588</v>
      </c>
      <c r="J17" s="38">
        <f>'InvEstatalGEI_Chihuahua13-17 B'!J17</f>
        <v>16880.338448097162</v>
      </c>
      <c r="K17" s="38">
        <f>'InvEstatalGEI_Chihuahua13-17 B'!K17</f>
        <v>16866.399815652218</v>
      </c>
    </row>
    <row r="18" spans="1:12" x14ac:dyDescent="0.3">
      <c r="A18" s="109" t="s">
        <v>28</v>
      </c>
      <c r="B18" s="109"/>
      <c r="C18" s="109"/>
      <c r="D18" s="109"/>
      <c r="E18" s="109"/>
      <c r="F18" s="109"/>
      <c r="G18" s="38">
        <f>'InvEstatalGEI_Chihuahua13-17 B'!G45</f>
        <v>242.47659350658463</v>
      </c>
      <c r="H18" s="38">
        <f>'InvEstatalGEI_Chihuahua13-17 B'!H45</f>
        <v>365.88374733856438</v>
      </c>
      <c r="I18" s="38">
        <f>'InvEstatalGEI_Chihuahua13-17 B'!I45</f>
        <v>684.37851633399862</v>
      </c>
      <c r="J18" s="38">
        <f>'InvEstatalGEI_Chihuahua13-17 B'!J45</f>
        <v>0</v>
      </c>
      <c r="K18" s="38">
        <f>'InvEstatalGEI_Chihuahua13-17 B'!K45</f>
        <v>0</v>
      </c>
    </row>
    <row r="19" spans="1:12" ht="15.6" x14ac:dyDescent="0.3">
      <c r="A19" s="111" t="s">
        <v>37</v>
      </c>
      <c r="B19" s="111"/>
      <c r="C19" s="111"/>
      <c r="D19" s="111"/>
      <c r="E19" s="111"/>
      <c r="F19" s="111"/>
      <c r="G19" s="38">
        <f>'InvEstatalGEI_Chihuahua13-17 B'!G55</f>
        <v>808.32280504978246</v>
      </c>
      <c r="H19" s="38">
        <f>'InvEstatalGEI_Chihuahua13-17 B'!H55</f>
        <v>832.25477426014277</v>
      </c>
      <c r="I19" s="38">
        <f>'InvEstatalGEI_Chihuahua13-17 B'!I55</f>
        <v>845.34740887027363</v>
      </c>
      <c r="J19" s="38">
        <f>'InvEstatalGEI_Chihuahua13-17 B'!J55</f>
        <v>886.90262961005601</v>
      </c>
      <c r="K19" s="38">
        <f>'InvEstatalGEI_Chihuahua13-17 B'!K55</f>
        <v>869.53874770951029</v>
      </c>
      <c r="L19" s="22"/>
    </row>
    <row r="20" spans="1:12" x14ac:dyDescent="0.3">
      <c r="A20" s="109" t="s">
        <v>38</v>
      </c>
      <c r="B20" s="109"/>
      <c r="C20" s="109"/>
      <c r="D20" s="109"/>
      <c r="E20" s="109"/>
      <c r="F20" s="109"/>
      <c r="G20" s="38">
        <f>'InvEstatalGEI_Chihuahua13-17 B'!G56</f>
        <v>564.00324504978244</v>
      </c>
      <c r="H20" s="38">
        <f>'InvEstatalGEI_Chihuahua13-17 B'!H56</f>
        <v>596.35701426014282</v>
      </c>
      <c r="I20" s="38">
        <f>'InvEstatalGEI_Chihuahua13-17 B'!I56</f>
        <v>645.49640887027363</v>
      </c>
      <c r="J20" s="38">
        <f>'InvEstatalGEI_Chihuahua13-17 B'!J56</f>
        <v>661.20134961005601</v>
      </c>
      <c r="K20" s="38">
        <f>'InvEstatalGEI_Chihuahua13-17 B'!K56</f>
        <v>677.89834770951029</v>
      </c>
    </row>
    <row r="21" spans="1:12" x14ac:dyDescent="0.3">
      <c r="A21" s="109" t="s">
        <v>44</v>
      </c>
      <c r="B21" s="109"/>
      <c r="C21" s="109"/>
      <c r="D21" s="109"/>
      <c r="E21" s="109"/>
      <c r="F21" s="109"/>
      <c r="G21" s="38">
        <f>'InvEstatalGEI_Chihuahua13-17 B'!G62</f>
        <v>0</v>
      </c>
      <c r="H21" s="38">
        <f>'InvEstatalGEI_Chihuahua13-17 B'!H62</f>
        <v>0</v>
      </c>
      <c r="I21" s="38">
        <f>'InvEstatalGEI_Chihuahua13-17 B'!I62</f>
        <v>0</v>
      </c>
      <c r="J21" s="38">
        <f>'InvEstatalGEI_Chihuahua13-17 B'!J62</f>
        <v>0</v>
      </c>
      <c r="K21" s="38">
        <f>'InvEstatalGEI_Chihuahua13-17 B'!K62</f>
        <v>0</v>
      </c>
    </row>
    <row r="22" spans="1:12" x14ac:dyDescent="0.3">
      <c r="A22" s="109" t="s">
        <v>55</v>
      </c>
      <c r="B22" s="109"/>
      <c r="C22" s="109"/>
      <c r="D22" s="109"/>
      <c r="E22" s="109"/>
      <c r="F22" s="109"/>
      <c r="G22" s="38">
        <f>'InvEstatalGEI_Chihuahua13-17 B'!G73</f>
        <v>244.31956</v>
      </c>
      <c r="H22" s="38">
        <f>'InvEstatalGEI_Chihuahua13-17 B'!H73</f>
        <v>235.89776000000001</v>
      </c>
      <c r="I22" s="38">
        <f>'InvEstatalGEI_Chihuahua13-17 B'!I73</f>
        <v>199.851</v>
      </c>
      <c r="J22" s="38">
        <f>'InvEstatalGEI_Chihuahua13-17 B'!J73</f>
        <v>225.70128</v>
      </c>
      <c r="K22" s="38">
        <f>'InvEstatalGEI_Chihuahua13-17 B'!K73</f>
        <v>191.6404</v>
      </c>
    </row>
    <row r="23" spans="1:12" ht="15.6" x14ac:dyDescent="0.3">
      <c r="A23" s="111" t="s">
        <v>90</v>
      </c>
      <c r="B23" s="111"/>
      <c r="C23" s="111"/>
      <c r="D23" s="111"/>
      <c r="E23" s="111"/>
      <c r="F23" s="111"/>
      <c r="G23" s="38">
        <f>'InvEstatalGEI_Chihuahua13-17 B'!G108</f>
        <v>-2849.9927626588274</v>
      </c>
      <c r="H23" s="38">
        <f>'InvEstatalGEI_Chihuahua13-17 B'!H108</f>
        <v>-2734.5354323119786</v>
      </c>
      <c r="I23" s="38">
        <f>'InvEstatalGEI_Chihuahua13-17 B'!I108</f>
        <v>-2574.0352890874278</v>
      </c>
      <c r="J23" s="38">
        <f>'InvEstatalGEI_Chihuahua13-17 B'!J108</f>
        <v>-1231.8437412595999</v>
      </c>
      <c r="K23" s="38">
        <f>'InvEstatalGEI_Chihuahua13-17 B'!K108</f>
        <v>-870.81244573011827</v>
      </c>
    </row>
    <row r="24" spans="1:12" x14ac:dyDescent="0.3">
      <c r="A24" s="109" t="s">
        <v>91</v>
      </c>
      <c r="B24" s="109"/>
      <c r="C24" s="109"/>
      <c r="D24" s="109"/>
      <c r="E24" s="109"/>
      <c r="F24" s="109"/>
      <c r="G24" s="38">
        <f>'InvEstatalGEI_Chihuahua13-17 B'!G109</f>
        <v>7516.7164350902303</v>
      </c>
      <c r="H24" s="38">
        <f>'InvEstatalGEI_Chihuahua13-17 B'!H109</f>
        <v>7583.2876717706567</v>
      </c>
      <c r="I24" s="38">
        <f>'InvEstatalGEI_Chihuahua13-17 B'!I109</f>
        <v>7907.5949442675555</v>
      </c>
      <c r="J24" s="38">
        <f>'InvEstatalGEI_Chihuahua13-17 B'!J109</f>
        <v>8910.0788705526593</v>
      </c>
      <c r="K24" s="38">
        <f>'InvEstatalGEI_Chihuahua13-17 B'!K109</f>
        <v>9218.2190274270561</v>
      </c>
    </row>
    <row r="25" spans="1:12" x14ac:dyDescent="0.3">
      <c r="A25" s="109" t="s">
        <v>113</v>
      </c>
      <c r="B25" s="109"/>
      <c r="C25" s="109"/>
      <c r="D25" s="109"/>
      <c r="E25" s="109"/>
      <c r="F25" s="109"/>
      <c r="G25" s="38">
        <f>'InvEstatalGEI_Chihuahua13-17 B'!G131</f>
        <v>-12741.687242413045</v>
      </c>
      <c r="H25" s="38">
        <f>'InvEstatalGEI_Chihuahua13-17 B'!H131</f>
        <v>-12741.687242413045</v>
      </c>
      <c r="I25" s="38">
        <f>'InvEstatalGEI_Chihuahua13-17 B'!I131</f>
        <v>-12741.687242413045</v>
      </c>
      <c r="J25" s="38">
        <f>'InvEstatalGEI_Chihuahua13-17 B'!J131</f>
        <v>-12741.687242413045</v>
      </c>
      <c r="K25" s="38">
        <f>'InvEstatalGEI_Chihuahua13-17 B'!K131</f>
        <v>-12741.687242413045</v>
      </c>
    </row>
    <row r="26" spans="1:12" x14ac:dyDescent="0.3">
      <c r="A26" s="109" t="s">
        <v>153</v>
      </c>
      <c r="B26" s="109"/>
      <c r="C26" s="109"/>
      <c r="D26" s="109"/>
      <c r="E26" s="109"/>
      <c r="F26" s="109"/>
      <c r="G26" s="38">
        <f>'InvEstatalGEI_Chihuahua13-17 B'!G150</f>
        <v>2374.9780446639875</v>
      </c>
      <c r="H26" s="38">
        <f>'InvEstatalGEI_Chihuahua13-17 B'!H150</f>
        <v>2423.8641383304098</v>
      </c>
      <c r="I26" s="38">
        <f>'InvEstatalGEI_Chihuahua13-17 B'!I150</f>
        <v>2260.0570090580618</v>
      </c>
      <c r="J26" s="38">
        <f>'InvEstatalGEI_Chihuahua13-17 B'!J150</f>
        <v>2599.7646306007859</v>
      </c>
      <c r="K26" s="38">
        <f>'InvEstatalGEI_Chihuahua13-17 B'!K150</f>
        <v>2652.6557692558708</v>
      </c>
    </row>
    <row r="27" spans="1:12" ht="15.6" x14ac:dyDescent="0.3">
      <c r="A27" s="111" t="s">
        <v>140</v>
      </c>
      <c r="B27" s="111"/>
      <c r="C27" s="111"/>
      <c r="D27" s="111"/>
      <c r="E27" s="111"/>
      <c r="F27" s="111"/>
      <c r="G27" s="38">
        <f>'InvEstatalGEI_Chihuahua13-17 B'!G165</f>
        <v>1290.3577311375407</v>
      </c>
      <c r="H27" s="38">
        <f>'InvEstatalGEI_Chihuahua13-17 B'!H165</f>
        <v>1323.1879014725223</v>
      </c>
      <c r="I27" s="38">
        <f>'InvEstatalGEI_Chihuahua13-17 B'!I165</f>
        <v>1352.579807099798</v>
      </c>
      <c r="J27" s="38">
        <f>'InvEstatalGEI_Chihuahua13-17 B'!J165</f>
        <v>1374.9305046177967</v>
      </c>
      <c r="K27" s="38">
        <f>'InvEstatalGEI_Chihuahua13-17 B'!K165</f>
        <v>1401.8509740522795</v>
      </c>
    </row>
    <row r="28" spans="1:12" x14ac:dyDescent="0.3">
      <c r="A28" s="109" t="s">
        <v>141</v>
      </c>
      <c r="B28" s="109"/>
      <c r="C28" s="109"/>
      <c r="D28" s="109"/>
      <c r="E28" s="109"/>
      <c r="F28" s="109"/>
      <c r="G28" s="38">
        <f>'InvEstatalGEI_Chihuahua13-17 B'!G166</f>
        <v>459.14869999999996</v>
      </c>
      <c r="H28" s="38">
        <f>'InvEstatalGEI_Chihuahua13-17 B'!H166</f>
        <v>483.83240000000001</v>
      </c>
      <c r="I28" s="38">
        <f>'InvEstatalGEI_Chihuahua13-17 B'!I166</f>
        <v>509.73580000000004</v>
      </c>
      <c r="J28" s="38">
        <f>'InvEstatalGEI_Chihuahua13-17 B'!J166</f>
        <v>536.38139999999999</v>
      </c>
      <c r="K28" s="38">
        <f>'InvEstatalGEI_Chihuahua13-17 B'!K166</f>
        <v>564.41689999999994</v>
      </c>
    </row>
    <row r="29" spans="1:12" x14ac:dyDescent="0.3">
      <c r="A29" s="109" t="s">
        <v>145</v>
      </c>
      <c r="B29" s="109"/>
      <c r="C29" s="109"/>
      <c r="D29" s="109"/>
      <c r="E29" s="109"/>
      <c r="F29" s="109"/>
      <c r="G29" s="38">
        <f>'InvEstatalGEI_Chihuahua13-17 B'!G170</f>
        <v>0.14498</v>
      </c>
      <c r="H29" s="38">
        <f>'InvEstatalGEI_Chihuahua13-17 B'!H170</f>
        <v>0.20857999999999999</v>
      </c>
      <c r="I29" s="38">
        <f>'InvEstatalGEI_Chihuahua13-17 B'!I170</f>
        <v>0.27217999999999998</v>
      </c>
      <c r="J29" s="38">
        <f>'InvEstatalGEI_Chihuahua13-17 B'!J170</f>
        <v>0.33578000000000002</v>
      </c>
      <c r="K29" s="38">
        <f>'InvEstatalGEI_Chihuahua13-17 B'!K170</f>
        <v>0.39938000000000001</v>
      </c>
    </row>
    <row r="30" spans="1:12" x14ac:dyDescent="0.3">
      <c r="A30" s="109" t="s">
        <v>146</v>
      </c>
      <c r="B30" s="109"/>
      <c r="C30" s="109"/>
      <c r="D30" s="109"/>
      <c r="E30" s="109"/>
      <c r="F30" s="109"/>
      <c r="G30" s="38">
        <f>'InvEstatalGEI_Chihuahua13-17 B'!G171</f>
        <v>31.14752</v>
      </c>
      <c r="H30" s="38">
        <f>'InvEstatalGEI_Chihuahua13-17 B'!H171</f>
        <v>31.734400000000001</v>
      </c>
      <c r="I30" s="38">
        <f>'InvEstatalGEI_Chihuahua13-17 B'!I171</f>
        <v>32.332349999999998</v>
      </c>
      <c r="J30" s="38">
        <f>'InvEstatalGEI_Chihuahua13-17 B'!J171</f>
        <v>32.941589999999998</v>
      </c>
      <c r="K30" s="38">
        <f>'InvEstatalGEI_Chihuahua13-17 B'!K171</f>
        <v>33.562329999999996</v>
      </c>
    </row>
    <row r="31" spans="1:12" x14ac:dyDescent="0.3">
      <c r="A31" s="109" t="s">
        <v>149</v>
      </c>
      <c r="B31" s="109"/>
      <c r="C31" s="109"/>
      <c r="D31" s="109"/>
      <c r="E31" s="109"/>
      <c r="F31" s="109"/>
      <c r="G31" s="38">
        <f>'InvEstatalGEI_Chihuahua13-17 B'!G174</f>
        <v>799.9165311375408</v>
      </c>
      <c r="H31" s="38">
        <f>'InvEstatalGEI_Chihuahua13-17 B'!H174</f>
        <v>807.41252147252214</v>
      </c>
      <c r="I31" s="38">
        <f>'InvEstatalGEI_Chihuahua13-17 B'!I174</f>
        <v>810.23947709979802</v>
      </c>
      <c r="J31" s="38">
        <f>'InvEstatalGEI_Chihuahua13-17 B'!J174</f>
        <v>805.27173461779671</v>
      </c>
      <c r="K31" s="38">
        <f>'InvEstatalGEI_Chihuahua13-17 B'!K174</f>
        <v>803.47236405227954</v>
      </c>
    </row>
  </sheetData>
  <mergeCells count="18">
    <mergeCell ref="A28:F28"/>
    <mergeCell ref="A29:F29"/>
    <mergeCell ref="A30:F30"/>
    <mergeCell ref="A31:F31"/>
    <mergeCell ref="A26:F26"/>
    <mergeCell ref="A27:F27"/>
    <mergeCell ref="A14:F14"/>
    <mergeCell ref="A15:F15"/>
    <mergeCell ref="A19:F19"/>
    <mergeCell ref="A23:F23"/>
    <mergeCell ref="A24:F24"/>
    <mergeCell ref="A16:F16"/>
    <mergeCell ref="A25:F25"/>
    <mergeCell ref="A20:F20"/>
    <mergeCell ref="A21:F21"/>
    <mergeCell ref="A22:F22"/>
    <mergeCell ref="A17:F17"/>
    <mergeCell ref="A18:F1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FED0-6FF6-407E-999D-B56CFC203BA3}">
  <dimension ref="A10:M74"/>
  <sheetViews>
    <sheetView tabSelected="1" zoomScale="70" zoomScaleNormal="70" workbookViewId="0">
      <selection activeCell="M16" sqref="M16"/>
    </sheetView>
  </sheetViews>
  <sheetFormatPr defaultColWidth="8.88671875" defaultRowHeight="14.4" x14ac:dyDescent="0.3"/>
  <cols>
    <col min="1" max="5" width="11.44140625" customWidth="1"/>
    <col min="6" max="6" width="14.33203125" customWidth="1"/>
    <col min="7" max="11" width="14.6640625" customWidth="1"/>
  </cols>
  <sheetData>
    <row r="10" spans="1:13" ht="18" x14ac:dyDescent="0.4">
      <c r="A10" s="25" t="s">
        <v>167</v>
      </c>
    </row>
    <row r="13" spans="1:13" ht="15.6" x14ac:dyDescent="0.3">
      <c r="A13" s="11" t="s">
        <v>166</v>
      </c>
      <c r="B13" s="11"/>
      <c r="C13" s="11"/>
      <c r="D13" s="11"/>
      <c r="E13" s="11"/>
      <c r="F13" s="11"/>
      <c r="G13" s="10">
        <v>2013</v>
      </c>
      <c r="H13" s="10">
        <v>2014</v>
      </c>
      <c r="I13" s="10">
        <v>2015</v>
      </c>
      <c r="J13" s="10">
        <v>2016</v>
      </c>
      <c r="K13" s="10">
        <v>2017</v>
      </c>
      <c r="M13" s="10" t="s">
        <v>192</v>
      </c>
    </row>
    <row r="14" spans="1:13" ht="18" x14ac:dyDescent="0.3">
      <c r="A14" s="92" t="s">
        <v>172</v>
      </c>
      <c r="B14" s="93"/>
      <c r="C14" s="93"/>
      <c r="D14" s="93"/>
      <c r="E14" s="93"/>
      <c r="F14" s="94"/>
      <c r="G14" s="20"/>
      <c r="H14" s="20"/>
      <c r="I14" s="20"/>
      <c r="J14" s="20"/>
      <c r="K14" s="20"/>
    </row>
    <row r="15" spans="1:13" ht="18" x14ac:dyDescent="0.3">
      <c r="A15" s="92" t="s">
        <v>173</v>
      </c>
      <c r="B15" s="93"/>
      <c r="C15" s="93"/>
      <c r="D15" s="93"/>
      <c r="E15" s="93"/>
      <c r="F15" s="94"/>
      <c r="G15" s="20"/>
      <c r="H15" s="20"/>
      <c r="I15" s="20"/>
      <c r="J15" s="20"/>
      <c r="K15" s="20"/>
    </row>
    <row r="16" spans="1:13" ht="15.6" x14ac:dyDescent="0.3">
      <c r="A16" s="12" t="s">
        <v>0</v>
      </c>
      <c r="B16" s="12"/>
      <c r="C16" s="12"/>
      <c r="D16" s="12"/>
      <c r="E16" s="12"/>
      <c r="F16" s="12"/>
      <c r="G16" s="13">
        <f>G17+G51</f>
        <v>17727.115598054977</v>
      </c>
      <c r="H16" s="13">
        <f t="shared" ref="H16:K16" si="0">H17+H51</f>
        <v>17731.084848380782</v>
      </c>
      <c r="I16" s="13">
        <f t="shared" si="0"/>
        <v>17514.147654160588</v>
      </c>
      <c r="J16" s="13">
        <f t="shared" si="0"/>
        <v>16880.338448097162</v>
      </c>
      <c r="K16" s="13">
        <f t="shared" si="0"/>
        <v>16866.399815652218</v>
      </c>
      <c r="M16" s="33">
        <f>POWER(K16/G16,1/(K$13-G$13))-1</f>
        <v>-1.2365895037207308E-2</v>
      </c>
    </row>
    <row r="17" spans="1:13" x14ac:dyDescent="0.3">
      <c r="A17" s="95" t="s">
        <v>1</v>
      </c>
      <c r="B17" s="95"/>
      <c r="C17" s="95"/>
      <c r="D17" s="95"/>
      <c r="E17" s="95"/>
      <c r="F17" s="95"/>
      <c r="G17" s="14">
        <f>G18+G22+G36+G42</f>
        <v>17484.639004548393</v>
      </c>
      <c r="H17" s="14">
        <f t="shared" ref="H17:K17" si="1">H18+H22+H36+H42</f>
        <v>17365.201101042217</v>
      </c>
      <c r="I17" s="14">
        <f t="shared" si="1"/>
        <v>16829.769137826588</v>
      </c>
      <c r="J17" s="14">
        <f t="shared" si="1"/>
        <v>16880.338448097162</v>
      </c>
      <c r="K17" s="14">
        <f t="shared" si="1"/>
        <v>16866.399815652218</v>
      </c>
      <c r="M17" s="33">
        <f>POWER(K17/G17,1/(K$13-G$13))-1</f>
        <v>-8.95943738919458E-3</v>
      </c>
    </row>
    <row r="18" spans="1:13" x14ac:dyDescent="0.3">
      <c r="A18" s="96" t="s">
        <v>2</v>
      </c>
      <c r="B18" s="96"/>
      <c r="C18" s="96"/>
      <c r="D18" s="96"/>
      <c r="E18" s="96"/>
      <c r="F18" s="96"/>
      <c r="G18" s="17">
        <f>G19</f>
        <v>7455.9975583291443</v>
      </c>
      <c r="H18" s="17">
        <f t="shared" ref="H18:K18" si="2">H19</f>
        <v>7571.1309101920633</v>
      </c>
      <c r="I18" s="17">
        <f t="shared" si="2"/>
        <v>6802.5087638073956</v>
      </c>
      <c r="J18" s="17">
        <f t="shared" si="2"/>
        <v>6138.4415293878492</v>
      </c>
      <c r="K18" s="17">
        <f t="shared" si="2"/>
        <v>6128.9641910759028</v>
      </c>
      <c r="M18" s="33">
        <f>POWER(K18/G18,1/(K$13-G$13))-1</f>
        <v>-4.7817201116707508E-2</v>
      </c>
    </row>
    <row r="19" spans="1:13" x14ac:dyDescent="0.3">
      <c r="A19" s="100" t="s">
        <v>3</v>
      </c>
      <c r="B19" s="100"/>
      <c r="C19" s="100"/>
      <c r="D19" s="100"/>
      <c r="E19" s="100"/>
      <c r="F19" s="100"/>
      <c r="G19" s="18">
        <v>7455.9975583291443</v>
      </c>
      <c r="H19" s="18">
        <v>7571.1309101920633</v>
      </c>
      <c r="I19" s="18">
        <v>6802.5087638073956</v>
      </c>
      <c r="J19" s="18">
        <v>6138.4415293878492</v>
      </c>
      <c r="K19" s="18">
        <v>6128.9641910759028</v>
      </c>
      <c r="M19" s="33"/>
    </row>
    <row r="20" spans="1:13" x14ac:dyDescent="0.3">
      <c r="A20" s="100" t="s">
        <v>4</v>
      </c>
      <c r="B20" s="100"/>
      <c r="C20" s="100"/>
      <c r="D20" s="100"/>
      <c r="E20" s="100"/>
      <c r="F20" s="100"/>
      <c r="G20" s="16"/>
      <c r="H20" s="16"/>
      <c r="I20" s="16"/>
      <c r="J20" s="16"/>
      <c r="K20" s="16"/>
      <c r="M20" s="33"/>
    </row>
    <row r="21" spans="1:13" x14ac:dyDescent="0.3">
      <c r="A21" s="100" t="s">
        <v>5</v>
      </c>
      <c r="B21" s="100"/>
      <c r="C21" s="100"/>
      <c r="D21" s="100"/>
      <c r="E21" s="100"/>
      <c r="F21" s="100"/>
      <c r="G21" s="16"/>
      <c r="H21" s="16"/>
      <c r="I21" s="16"/>
      <c r="J21" s="16"/>
      <c r="K21" s="16"/>
      <c r="M21" s="33"/>
    </row>
    <row r="22" spans="1:13" x14ac:dyDescent="0.3">
      <c r="A22" s="96" t="s">
        <v>6</v>
      </c>
      <c r="B22" s="96"/>
      <c r="C22" s="96"/>
      <c r="D22" s="96"/>
      <c r="E22" s="96"/>
      <c r="F22" s="96"/>
      <c r="G22" s="17">
        <v>1830.1041703016547</v>
      </c>
      <c r="H22" s="17">
        <v>1814.4799327099774</v>
      </c>
      <c r="I22" s="17">
        <v>1435.0260239346042</v>
      </c>
      <c r="J22" s="17">
        <v>1993.2791637428973</v>
      </c>
      <c r="K22" s="17">
        <v>2147.0392392463536</v>
      </c>
      <c r="M22" s="33">
        <f>POWER(K22/G22,1/(K$13-G$13))-1</f>
        <v>4.0737115016257874E-2</v>
      </c>
    </row>
    <row r="23" spans="1:13" x14ac:dyDescent="0.3">
      <c r="A23" s="100" t="s">
        <v>7</v>
      </c>
      <c r="B23" s="100"/>
      <c r="C23" s="100"/>
      <c r="D23" s="100"/>
      <c r="E23" s="100"/>
      <c r="F23" s="100"/>
      <c r="G23" s="16"/>
      <c r="H23" s="16"/>
      <c r="I23" s="16"/>
      <c r="J23" s="16"/>
      <c r="K23" s="16"/>
      <c r="M23" s="33"/>
    </row>
    <row r="24" spans="1:13" x14ac:dyDescent="0.3">
      <c r="A24" s="100" t="s">
        <v>8</v>
      </c>
      <c r="B24" s="100"/>
      <c r="C24" s="100"/>
      <c r="D24" s="100"/>
      <c r="E24" s="100"/>
      <c r="F24" s="100"/>
      <c r="G24" s="16"/>
      <c r="H24" s="16"/>
      <c r="I24" s="16"/>
      <c r="J24" s="16"/>
      <c r="K24" s="16"/>
      <c r="M24" s="33"/>
    </row>
    <row r="25" spans="1:13" x14ac:dyDescent="0.3">
      <c r="A25" s="100" t="s">
        <v>9</v>
      </c>
      <c r="B25" s="100"/>
      <c r="C25" s="100"/>
      <c r="D25" s="100"/>
      <c r="E25" s="100"/>
      <c r="F25" s="100"/>
      <c r="G25" s="16"/>
      <c r="H25" s="16"/>
      <c r="I25" s="16"/>
      <c r="J25" s="16"/>
      <c r="K25" s="16"/>
      <c r="M25" s="33"/>
    </row>
    <row r="26" spans="1:13" x14ac:dyDescent="0.3">
      <c r="A26" s="100" t="s">
        <v>10</v>
      </c>
      <c r="B26" s="100"/>
      <c r="C26" s="100"/>
      <c r="D26" s="100"/>
      <c r="E26" s="100"/>
      <c r="F26" s="100"/>
      <c r="G26" s="16"/>
      <c r="H26" s="16"/>
      <c r="I26" s="16"/>
      <c r="J26" s="16"/>
      <c r="K26" s="16"/>
      <c r="M26" s="33"/>
    </row>
    <row r="27" spans="1:13" x14ac:dyDescent="0.3">
      <c r="A27" s="100" t="s">
        <v>11</v>
      </c>
      <c r="B27" s="100"/>
      <c r="C27" s="100"/>
      <c r="D27" s="100"/>
      <c r="E27" s="100"/>
      <c r="F27" s="100"/>
      <c r="G27" s="16"/>
      <c r="H27" s="16"/>
      <c r="I27" s="16"/>
      <c r="J27" s="16"/>
      <c r="K27" s="16"/>
      <c r="M27" s="33"/>
    </row>
    <row r="28" spans="1:13" x14ac:dyDescent="0.3">
      <c r="A28" s="100" t="s">
        <v>12</v>
      </c>
      <c r="B28" s="100"/>
      <c r="C28" s="100"/>
      <c r="D28" s="100"/>
      <c r="E28" s="100"/>
      <c r="F28" s="100"/>
      <c r="G28" s="16"/>
      <c r="H28" s="16"/>
      <c r="I28" s="16"/>
      <c r="J28" s="16"/>
      <c r="K28" s="16"/>
      <c r="M28" s="33"/>
    </row>
    <row r="29" spans="1:13" x14ac:dyDescent="0.3">
      <c r="A29" s="100" t="s">
        <v>13</v>
      </c>
      <c r="B29" s="100"/>
      <c r="C29" s="100"/>
      <c r="D29" s="100"/>
      <c r="E29" s="100"/>
      <c r="F29" s="100"/>
      <c r="G29" s="16"/>
      <c r="H29" s="16"/>
      <c r="I29" s="16"/>
      <c r="J29" s="16"/>
      <c r="K29" s="16"/>
      <c r="M29" s="33"/>
    </row>
    <row r="30" spans="1:13" x14ac:dyDescent="0.3">
      <c r="A30" s="100" t="s">
        <v>14</v>
      </c>
      <c r="B30" s="100"/>
      <c r="C30" s="100"/>
      <c r="D30" s="100"/>
      <c r="E30" s="100"/>
      <c r="F30" s="100"/>
      <c r="G30" s="16"/>
      <c r="H30" s="16"/>
      <c r="I30" s="16"/>
      <c r="J30" s="16"/>
      <c r="K30" s="16"/>
      <c r="M30" s="33"/>
    </row>
    <row r="31" spans="1:13" x14ac:dyDescent="0.3">
      <c r="A31" s="100" t="s">
        <v>15</v>
      </c>
      <c r="B31" s="100"/>
      <c r="C31" s="100"/>
      <c r="D31" s="100"/>
      <c r="E31" s="100"/>
      <c r="F31" s="100"/>
      <c r="G31" s="16"/>
      <c r="H31" s="16"/>
      <c r="I31" s="16"/>
      <c r="J31" s="16"/>
      <c r="K31" s="16"/>
      <c r="M31" s="33"/>
    </row>
    <row r="32" spans="1:13" x14ac:dyDescent="0.3">
      <c r="A32" s="100" t="s">
        <v>16</v>
      </c>
      <c r="B32" s="100"/>
      <c r="C32" s="100"/>
      <c r="D32" s="100"/>
      <c r="E32" s="100"/>
      <c r="F32" s="100"/>
      <c r="G32" s="16"/>
      <c r="H32" s="16"/>
      <c r="I32" s="16"/>
      <c r="J32" s="16"/>
      <c r="K32" s="16"/>
      <c r="M32" s="33"/>
    </row>
    <row r="33" spans="1:13" x14ac:dyDescent="0.3">
      <c r="A33" s="100" t="s">
        <v>17</v>
      </c>
      <c r="B33" s="100"/>
      <c r="C33" s="100"/>
      <c r="D33" s="100"/>
      <c r="E33" s="100"/>
      <c r="F33" s="100"/>
      <c r="G33" s="16"/>
      <c r="H33" s="16"/>
      <c r="I33" s="16"/>
      <c r="J33" s="16"/>
      <c r="K33" s="16"/>
      <c r="M33" s="33"/>
    </row>
    <row r="34" spans="1:13" x14ac:dyDescent="0.3">
      <c r="A34" s="100" t="s">
        <v>18</v>
      </c>
      <c r="B34" s="100"/>
      <c r="C34" s="100"/>
      <c r="D34" s="100"/>
      <c r="E34" s="100"/>
      <c r="F34" s="100"/>
      <c r="G34" s="16"/>
      <c r="H34" s="16"/>
      <c r="I34" s="16"/>
      <c r="J34" s="16"/>
      <c r="K34" s="16"/>
      <c r="M34" s="33"/>
    </row>
    <row r="35" spans="1:13" x14ac:dyDescent="0.3">
      <c r="A35" s="100" t="s">
        <v>19</v>
      </c>
      <c r="B35" s="100"/>
      <c r="C35" s="100"/>
      <c r="D35" s="100"/>
      <c r="E35" s="100"/>
      <c r="F35" s="100"/>
      <c r="G35" s="16"/>
      <c r="H35" s="16"/>
      <c r="I35" s="16"/>
      <c r="J35" s="16"/>
      <c r="K35" s="16"/>
      <c r="M35" s="33"/>
    </row>
    <row r="36" spans="1:13" x14ac:dyDescent="0.3">
      <c r="A36" s="96" t="s">
        <v>20</v>
      </c>
      <c r="B36" s="96"/>
      <c r="C36" s="96"/>
      <c r="D36" s="96"/>
      <c r="E36" s="96"/>
      <c r="F36" s="96"/>
      <c r="G36" s="17">
        <f>SUM(G37:G41)</f>
        <v>6630.9269685354639</v>
      </c>
      <c r="H36" s="17">
        <f t="shared" ref="H36:K36" si="3">SUM(H37:H41)</f>
        <v>6585.6963863130259</v>
      </c>
      <c r="I36" s="17">
        <f t="shared" si="3"/>
        <v>7073.3582424346905</v>
      </c>
      <c r="J36" s="17">
        <f t="shared" si="3"/>
        <v>7242.2354010076042</v>
      </c>
      <c r="K36" s="17">
        <f t="shared" si="3"/>
        <v>7114.3124491731069</v>
      </c>
      <c r="M36" s="33">
        <f>POWER(K36/G36,1/(K$13-G$13))-1</f>
        <v>1.7746628860585867E-2</v>
      </c>
    </row>
    <row r="37" spans="1:13" x14ac:dyDescent="0.3">
      <c r="A37" s="100" t="s">
        <v>21</v>
      </c>
      <c r="B37" s="100"/>
      <c r="C37" s="100"/>
      <c r="D37" s="100"/>
      <c r="E37" s="100"/>
      <c r="F37" s="100"/>
      <c r="G37" s="18">
        <v>122.41376132133099</v>
      </c>
      <c r="H37" s="18">
        <v>131.235096589714</v>
      </c>
      <c r="I37" s="18">
        <v>140.05643185809799</v>
      </c>
      <c r="J37" s="18">
        <v>148.87776712648099</v>
      </c>
      <c r="K37" s="18">
        <v>157.69910239486398</v>
      </c>
      <c r="M37" s="33"/>
    </row>
    <row r="38" spans="1:13" x14ac:dyDescent="0.3">
      <c r="A38" s="100" t="s">
        <v>22</v>
      </c>
      <c r="B38" s="100"/>
      <c r="C38" s="100"/>
      <c r="D38" s="100"/>
      <c r="E38" s="100"/>
      <c r="F38" s="100"/>
      <c r="G38" s="18">
        <v>6429.37725684211</v>
      </c>
      <c r="H38" s="18">
        <v>6364.90990976585</v>
      </c>
      <c r="I38" s="18">
        <v>6824.49884192026</v>
      </c>
      <c r="J38" s="18">
        <v>6985.5019687943404</v>
      </c>
      <c r="K38" s="18">
        <v>6862.8105370773601</v>
      </c>
      <c r="M38" s="33"/>
    </row>
    <row r="39" spans="1:13" x14ac:dyDescent="0.3">
      <c r="A39" s="100" t="s">
        <v>23</v>
      </c>
      <c r="B39" s="100"/>
      <c r="C39" s="100"/>
      <c r="D39" s="100"/>
      <c r="E39" s="100"/>
      <c r="F39" s="100"/>
      <c r="G39" s="18">
        <v>79.135950372023302</v>
      </c>
      <c r="H39" s="18">
        <v>89.551379957462004</v>
      </c>
      <c r="I39" s="18">
        <v>108.802968656332</v>
      </c>
      <c r="J39" s="18">
        <v>107.85566508678301</v>
      </c>
      <c r="K39" s="18">
        <v>93.802809700882506</v>
      </c>
      <c r="M39" s="33"/>
    </row>
    <row r="40" spans="1:13" x14ac:dyDescent="0.3">
      <c r="A40" s="100" t="s">
        <v>24</v>
      </c>
      <c r="B40" s="100"/>
      <c r="C40" s="100"/>
      <c r="D40" s="100"/>
      <c r="E40" s="100"/>
      <c r="F40" s="100"/>
      <c r="G40" s="16"/>
      <c r="H40" s="16"/>
      <c r="I40" s="16"/>
      <c r="J40" s="16"/>
      <c r="K40" s="16"/>
      <c r="M40" s="33"/>
    </row>
    <row r="41" spans="1:13" x14ac:dyDescent="0.3">
      <c r="A41" s="100" t="s">
        <v>25</v>
      </c>
      <c r="B41" s="100"/>
      <c r="C41" s="100"/>
      <c r="D41" s="100"/>
      <c r="E41" s="100"/>
      <c r="F41" s="100"/>
      <c r="G41" s="16"/>
      <c r="H41" s="16"/>
      <c r="I41" s="16"/>
      <c r="J41" s="16"/>
      <c r="K41" s="16"/>
      <c r="M41" s="33"/>
    </row>
    <row r="42" spans="1:13" x14ac:dyDescent="0.3">
      <c r="A42" s="96" t="s">
        <v>26</v>
      </c>
      <c r="B42" s="96"/>
      <c r="C42" s="96"/>
      <c r="D42" s="96"/>
      <c r="E42" s="96"/>
      <c r="F42" s="96"/>
      <c r="G42" s="17">
        <f>SUM(G43:G44)</f>
        <v>1567.6103073821278</v>
      </c>
      <c r="H42" s="17">
        <f t="shared" ref="H42:K42" si="4">SUM(H43:H44)</f>
        <v>1393.8938718271511</v>
      </c>
      <c r="I42" s="17">
        <f t="shared" si="4"/>
        <v>1518.8761076499006</v>
      </c>
      <c r="J42" s="17">
        <f t="shared" si="4"/>
        <v>1506.3823539588132</v>
      </c>
      <c r="K42" s="17">
        <f t="shared" si="4"/>
        <v>1476.0839361568537</v>
      </c>
      <c r="M42" s="33">
        <f>POWER(K42/G42,1/(K$13-G$13))-1</f>
        <v>-1.4927407619198751E-2</v>
      </c>
    </row>
    <row r="43" spans="1:13" x14ac:dyDescent="0.3">
      <c r="A43" s="100" t="s">
        <v>168</v>
      </c>
      <c r="B43" s="100"/>
      <c r="C43" s="100"/>
      <c r="D43" s="100"/>
      <c r="E43" s="100"/>
      <c r="F43" s="100"/>
      <c r="G43" s="18">
        <v>1567.6103073821278</v>
      </c>
      <c r="H43" s="18">
        <v>1393.8938718271511</v>
      </c>
      <c r="I43" s="18">
        <v>1518.8761076499006</v>
      </c>
      <c r="J43" s="18">
        <v>1506.3823539588132</v>
      </c>
      <c r="K43" s="18">
        <v>1476.0839361568537</v>
      </c>
    </row>
    <row r="44" spans="1:13" x14ac:dyDescent="0.3">
      <c r="A44" s="100" t="s">
        <v>27</v>
      </c>
      <c r="B44" s="100"/>
      <c r="C44" s="100"/>
      <c r="D44" s="100"/>
      <c r="E44" s="100"/>
      <c r="F44" s="100"/>
      <c r="G44" s="16"/>
      <c r="H44" s="16"/>
      <c r="I44" s="16"/>
      <c r="J44" s="16"/>
      <c r="K44" s="16"/>
    </row>
    <row r="45" spans="1:13" x14ac:dyDescent="0.3">
      <c r="A45" s="95" t="s">
        <v>28</v>
      </c>
      <c r="B45" s="95"/>
      <c r="C45" s="95"/>
      <c r="D45" s="95"/>
      <c r="E45" s="95"/>
      <c r="F45" s="95"/>
      <c r="G45" s="14">
        <f>G51</f>
        <v>242.47659350658463</v>
      </c>
      <c r="H45" s="14">
        <f t="shared" ref="H45:K45" si="5">H51</f>
        <v>365.88374733856438</v>
      </c>
      <c r="I45" s="14">
        <f t="shared" si="5"/>
        <v>684.37851633399862</v>
      </c>
      <c r="J45" s="14">
        <f t="shared" si="5"/>
        <v>0</v>
      </c>
      <c r="K45" s="14">
        <f t="shared" si="5"/>
        <v>0</v>
      </c>
    </row>
    <row r="46" spans="1:13" x14ac:dyDescent="0.3">
      <c r="A46" s="96" t="s">
        <v>29</v>
      </c>
      <c r="B46" s="96"/>
      <c r="C46" s="96"/>
      <c r="D46" s="96"/>
      <c r="E46" s="96"/>
      <c r="F46" s="96"/>
      <c r="G46" s="15"/>
      <c r="H46" s="15"/>
      <c r="I46" s="15"/>
      <c r="J46" s="15"/>
      <c r="K46" s="15"/>
    </row>
    <row r="47" spans="1:13" x14ac:dyDescent="0.3">
      <c r="A47" s="100" t="s">
        <v>30</v>
      </c>
      <c r="B47" s="100"/>
      <c r="C47" s="100"/>
      <c r="D47" s="100"/>
      <c r="E47" s="100"/>
      <c r="F47" s="100"/>
      <c r="G47" s="18">
        <f>SUM(G48:G49)</f>
        <v>0</v>
      </c>
      <c r="H47" s="18">
        <f t="shared" ref="H47:K47" si="6">SUM(H48:H49)</f>
        <v>0</v>
      </c>
      <c r="I47" s="18">
        <f t="shared" si="6"/>
        <v>0</v>
      </c>
      <c r="J47" s="18">
        <f t="shared" si="6"/>
        <v>0</v>
      </c>
      <c r="K47" s="18">
        <f t="shared" si="6"/>
        <v>0</v>
      </c>
    </row>
    <row r="48" spans="1:13" x14ac:dyDescent="0.3">
      <c r="A48" s="100" t="s">
        <v>31</v>
      </c>
      <c r="B48" s="100"/>
      <c r="C48" s="100"/>
      <c r="D48" s="100"/>
      <c r="E48" s="100"/>
      <c r="F48" s="100"/>
      <c r="G48" s="16"/>
      <c r="H48" s="16"/>
      <c r="I48" s="16"/>
      <c r="J48" s="16"/>
      <c r="K48" s="16"/>
    </row>
    <row r="49" spans="1:13" x14ac:dyDescent="0.3">
      <c r="A49" s="100" t="s">
        <v>32</v>
      </c>
      <c r="B49" s="100"/>
      <c r="C49" s="100"/>
      <c r="D49" s="100"/>
      <c r="E49" s="100"/>
      <c r="F49" s="100"/>
      <c r="G49" s="16"/>
      <c r="H49" s="16"/>
      <c r="I49" s="16"/>
      <c r="J49" s="16"/>
      <c r="K49" s="16"/>
    </row>
    <row r="50" spans="1:13" x14ac:dyDescent="0.3">
      <c r="A50" s="100" t="s">
        <v>33</v>
      </c>
      <c r="B50" s="100"/>
      <c r="C50" s="100"/>
      <c r="D50" s="100"/>
      <c r="E50" s="100"/>
      <c r="F50" s="100"/>
      <c r="G50" s="16"/>
      <c r="H50" s="16"/>
      <c r="I50" s="16"/>
      <c r="J50" s="16"/>
      <c r="K50" s="16"/>
    </row>
    <row r="51" spans="1:13" x14ac:dyDescent="0.3">
      <c r="A51" s="96" t="s">
        <v>34</v>
      </c>
      <c r="B51" s="96"/>
      <c r="C51" s="96"/>
      <c r="D51" s="96"/>
      <c r="E51" s="96"/>
      <c r="F51" s="96"/>
      <c r="G51" s="17">
        <f>SUM(G52:G53)</f>
        <v>242.47659350658463</v>
      </c>
      <c r="H51" s="17">
        <f t="shared" ref="H51:K51" si="7">SUM(H52:H53)</f>
        <v>365.88374733856438</v>
      </c>
      <c r="I51" s="17">
        <f t="shared" si="7"/>
        <v>684.37851633399862</v>
      </c>
      <c r="J51" s="17">
        <f t="shared" si="7"/>
        <v>0</v>
      </c>
      <c r="K51" s="17">
        <f t="shared" si="7"/>
        <v>0</v>
      </c>
      <c r="M51" s="33">
        <f t="shared" ref="M51" si="8">POWER(K51/G51,1/(K$13-G$13))-1</f>
        <v>-1</v>
      </c>
    </row>
    <row r="52" spans="1:13" x14ac:dyDescent="0.3">
      <c r="A52" s="100" t="s">
        <v>35</v>
      </c>
      <c r="B52" s="100"/>
      <c r="C52" s="100"/>
      <c r="D52" s="100"/>
      <c r="E52" s="100"/>
      <c r="F52" s="100"/>
      <c r="G52" s="16"/>
      <c r="H52" s="16"/>
      <c r="I52" s="16"/>
      <c r="J52" s="16"/>
      <c r="K52" s="16"/>
    </row>
    <row r="53" spans="1:13" x14ac:dyDescent="0.3">
      <c r="A53" s="100" t="s">
        <v>169</v>
      </c>
      <c r="B53" s="100"/>
      <c r="C53" s="100"/>
      <c r="D53" s="100"/>
      <c r="E53" s="100"/>
      <c r="F53" s="100"/>
      <c r="G53" s="18">
        <v>242.47659350658463</v>
      </c>
      <c r="H53" s="18">
        <v>365.88374733856438</v>
      </c>
      <c r="I53" s="18">
        <v>684.37851633399862</v>
      </c>
      <c r="J53" s="18">
        <v>0</v>
      </c>
      <c r="K53" s="18">
        <v>0</v>
      </c>
    </row>
    <row r="54" spans="1:13" x14ac:dyDescent="0.3">
      <c r="A54" s="46" t="s">
        <v>193</v>
      </c>
    </row>
    <row r="60" spans="1:13" x14ac:dyDescent="0.3">
      <c r="A60" s="54" t="s">
        <v>197</v>
      </c>
      <c r="B60" s="54"/>
      <c r="C60" s="46"/>
      <c r="D60" s="46"/>
      <c r="E60" s="46"/>
      <c r="F60" s="46"/>
      <c r="G60" s="46"/>
    </row>
    <row r="61" spans="1:13" x14ac:dyDescent="0.3">
      <c r="A61" s="54" t="s">
        <v>198</v>
      </c>
      <c r="B61" s="54"/>
      <c r="C61" s="46"/>
      <c r="D61" s="46"/>
      <c r="E61" s="46"/>
      <c r="F61" s="46"/>
      <c r="G61" s="46"/>
    </row>
    <row r="62" spans="1:13" x14ac:dyDescent="0.3">
      <c r="A62" s="54" t="s">
        <v>199</v>
      </c>
      <c r="B62" s="54"/>
      <c r="C62" s="52"/>
      <c r="D62" s="52"/>
      <c r="E62" s="52"/>
      <c r="F62" s="52"/>
      <c r="G62" s="52"/>
    </row>
    <row r="63" spans="1:13" x14ac:dyDescent="0.3">
      <c r="A63" s="53" t="s">
        <v>200</v>
      </c>
      <c r="B63" s="52"/>
      <c r="C63" s="52"/>
      <c r="D63" s="52"/>
      <c r="E63" s="52"/>
      <c r="F63" s="52"/>
      <c r="G63" s="52"/>
    </row>
    <row r="64" spans="1:13" x14ac:dyDescent="0.3">
      <c r="A64" s="46"/>
      <c r="B64" s="46"/>
      <c r="C64" s="46"/>
      <c r="D64" s="46"/>
      <c r="E64" s="46"/>
      <c r="F64" s="46"/>
      <c r="G64" s="46"/>
    </row>
    <row r="65" spans="1:11" x14ac:dyDescent="0.3">
      <c r="A65" s="115" t="s">
        <v>201</v>
      </c>
      <c r="B65" s="115"/>
      <c r="C65" s="115"/>
      <c r="D65" s="115"/>
      <c r="E65" s="115"/>
      <c r="F65" s="55" t="s">
        <v>177</v>
      </c>
      <c r="G65" s="56">
        <v>2013</v>
      </c>
      <c r="H65" s="56">
        <v>2014</v>
      </c>
      <c r="I65" s="56">
        <v>2015</v>
      </c>
      <c r="J65" s="56">
        <v>2016</v>
      </c>
      <c r="K65" s="56">
        <v>2017</v>
      </c>
    </row>
    <row r="66" spans="1:11" x14ac:dyDescent="0.3">
      <c r="A66" s="115" t="s">
        <v>188</v>
      </c>
      <c r="B66" s="115"/>
      <c r="C66" s="115"/>
      <c r="D66" s="115"/>
      <c r="E66" s="115"/>
      <c r="F66" s="56" t="s">
        <v>202</v>
      </c>
      <c r="G66" s="59">
        <v>257860107.01800004</v>
      </c>
      <c r="H66" s="59">
        <v>258255774.32099998</v>
      </c>
      <c r="I66" s="59">
        <v>260809578.18399999</v>
      </c>
      <c r="J66" s="59">
        <v>261734401.44115502</v>
      </c>
      <c r="K66" s="59">
        <v>256736780.00315797</v>
      </c>
    </row>
    <row r="67" spans="1:11" x14ac:dyDescent="0.3">
      <c r="A67" s="117" t="s">
        <v>203</v>
      </c>
      <c r="B67" s="117"/>
      <c r="C67" s="117"/>
      <c r="D67" s="117"/>
      <c r="E67" s="117"/>
      <c r="F67" s="57" t="s">
        <v>202</v>
      </c>
      <c r="G67" s="60">
        <v>13849745.033999998</v>
      </c>
      <c r="H67" s="60">
        <v>15511327.423</v>
      </c>
      <c r="I67" s="60">
        <v>15428280.825999999</v>
      </c>
      <c r="J67" s="60">
        <v>16059471.797998002</v>
      </c>
      <c r="K67" s="60">
        <v>14421563.633569</v>
      </c>
    </row>
    <row r="68" spans="1:11" x14ac:dyDescent="0.3">
      <c r="A68" s="53" t="s">
        <v>204</v>
      </c>
      <c r="B68" s="52"/>
      <c r="C68" s="52"/>
      <c r="D68" s="52"/>
      <c r="E68" s="52"/>
      <c r="F68" s="52"/>
      <c r="G68" s="52"/>
    </row>
    <row r="69" spans="1:11" x14ac:dyDescent="0.3">
      <c r="A69" s="53" t="s">
        <v>205</v>
      </c>
      <c r="B69" s="52"/>
      <c r="C69" s="52"/>
      <c r="D69" s="52"/>
      <c r="E69" s="52"/>
      <c r="F69" s="52"/>
      <c r="G69" s="52"/>
    </row>
    <row r="70" spans="1:11" x14ac:dyDescent="0.3">
      <c r="A70" s="58" t="s">
        <v>206</v>
      </c>
      <c r="B70" s="58"/>
      <c r="C70" s="52"/>
      <c r="D70" s="52"/>
      <c r="E70" s="52"/>
      <c r="F70" s="52"/>
      <c r="G70" s="52"/>
    </row>
    <row r="73" spans="1:11" ht="15.6" x14ac:dyDescent="0.35">
      <c r="A73" t="s">
        <v>207</v>
      </c>
      <c r="F73" t="s">
        <v>208</v>
      </c>
      <c r="G73" s="50">
        <f>G19</f>
        <v>7455.9975583291443</v>
      </c>
      <c r="H73" s="50">
        <f t="shared" ref="H73:K73" si="9">H19</f>
        <v>7571.1309101920633</v>
      </c>
      <c r="I73" s="50">
        <f t="shared" si="9"/>
        <v>6802.5087638073956</v>
      </c>
      <c r="J73" s="50">
        <f t="shared" si="9"/>
        <v>6138.4415293878492</v>
      </c>
      <c r="K73" s="50">
        <f t="shared" si="9"/>
        <v>6128.9641910759028</v>
      </c>
    </row>
    <row r="74" spans="1:11" ht="15.6" x14ac:dyDescent="0.35">
      <c r="A74" t="s">
        <v>209</v>
      </c>
      <c r="F74" t="s">
        <v>266</v>
      </c>
      <c r="G74" s="51">
        <f>1000*G73/G67</f>
        <v>0.53834908440735019</v>
      </c>
      <c r="H74" s="51">
        <f t="shared" ref="H74:K74" si="10">1000*H73/H67</f>
        <v>0.4881033520680948</v>
      </c>
      <c r="I74" s="51">
        <f t="shared" si="10"/>
        <v>0.44091165052840448</v>
      </c>
      <c r="J74" s="51">
        <f t="shared" si="10"/>
        <v>0.38223184464591647</v>
      </c>
      <c r="K74" s="51">
        <f t="shared" si="10"/>
        <v>0.42498610738779696</v>
      </c>
    </row>
  </sheetData>
  <mergeCells count="42">
    <mergeCell ref="A66:E66"/>
    <mergeCell ref="A67:E67"/>
    <mergeCell ref="A51:F51"/>
    <mergeCell ref="A52:F52"/>
    <mergeCell ref="A53:F53"/>
    <mergeCell ref="A65:E65"/>
    <mergeCell ref="A45:F45"/>
    <mergeCell ref="A46:F46"/>
    <mergeCell ref="A47:F47"/>
    <mergeCell ref="A48:F48"/>
    <mergeCell ref="A49:F49"/>
    <mergeCell ref="A50:F50"/>
    <mergeCell ref="A39:F39"/>
    <mergeCell ref="A40:F40"/>
    <mergeCell ref="A41:F41"/>
    <mergeCell ref="A42:F42"/>
    <mergeCell ref="A43:F43"/>
    <mergeCell ref="A44:F44"/>
    <mergeCell ref="A33:F33"/>
    <mergeCell ref="A34:F34"/>
    <mergeCell ref="A35:F35"/>
    <mergeCell ref="A36:F36"/>
    <mergeCell ref="A37:F37"/>
    <mergeCell ref="A38:F38"/>
    <mergeCell ref="A27:F27"/>
    <mergeCell ref="A28:F28"/>
    <mergeCell ref="A29:F29"/>
    <mergeCell ref="A30:F30"/>
    <mergeCell ref="A31:F31"/>
    <mergeCell ref="A32:F32"/>
    <mergeCell ref="A26:F26"/>
    <mergeCell ref="A14:F14"/>
    <mergeCell ref="A15:F15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</mergeCells>
  <hyperlinks>
    <hyperlink ref="A70" r:id="rId1" xr:uid="{00000000-0004-0000-02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F50D-60C7-4A13-8EE6-DFDA5E8F9E52}">
  <dimension ref="A6:J28"/>
  <sheetViews>
    <sheetView showGridLines="0" topLeftCell="A7" workbookViewId="0">
      <selection activeCell="D14" sqref="D14:H15"/>
    </sheetView>
  </sheetViews>
  <sheetFormatPr defaultColWidth="8.88671875" defaultRowHeight="14.4" x14ac:dyDescent="0.3"/>
  <cols>
    <col min="2" max="2" width="20.109375" bestFit="1" customWidth="1"/>
    <col min="3" max="3" width="11.44140625" hidden="1" customWidth="1"/>
    <col min="4" max="8" width="11.44140625" customWidth="1"/>
  </cols>
  <sheetData>
    <row r="6" spans="1:10" s="24" customFormat="1" x14ac:dyDescent="0.3"/>
    <row r="7" spans="1:10" s="24" customFormat="1" x14ac:dyDescent="0.3"/>
    <row r="8" spans="1:10" ht="18" x14ac:dyDescent="0.4">
      <c r="B8" s="25" t="s">
        <v>167</v>
      </c>
    </row>
    <row r="10" spans="1:10" ht="15.6" x14ac:dyDescent="0.3">
      <c r="A10" s="29"/>
      <c r="B10" s="30" t="s">
        <v>184</v>
      </c>
      <c r="C10" s="31"/>
      <c r="D10" s="29"/>
    </row>
    <row r="11" spans="1:10" x14ac:dyDescent="0.3">
      <c r="A11" s="29"/>
      <c r="B11" s="29"/>
      <c r="C11" s="29"/>
      <c r="D11" s="29"/>
    </row>
    <row r="12" spans="1:10" ht="15.6" x14ac:dyDescent="0.35">
      <c r="A12" s="29"/>
      <c r="B12" s="32" t="s">
        <v>268</v>
      </c>
      <c r="C12" s="29"/>
      <c r="D12" s="29"/>
    </row>
    <row r="13" spans="1:10" ht="15.6" x14ac:dyDescent="0.3">
      <c r="B13" s="77" t="s">
        <v>174</v>
      </c>
      <c r="C13" s="77" t="s">
        <v>177</v>
      </c>
      <c r="D13" s="77">
        <v>2013</v>
      </c>
      <c r="E13" s="77" t="s">
        <v>178</v>
      </c>
      <c r="F13" s="77" t="s">
        <v>179</v>
      </c>
      <c r="G13" s="77" t="s">
        <v>180</v>
      </c>
      <c r="H13" s="77" t="s">
        <v>181</v>
      </c>
      <c r="J13" s="10" t="s">
        <v>192</v>
      </c>
    </row>
    <row r="14" spans="1:10" ht="15" x14ac:dyDescent="0.35">
      <c r="B14" s="78" t="s">
        <v>175</v>
      </c>
      <c r="C14" s="79" t="s">
        <v>267</v>
      </c>
      <c r="D14" s="80">
        <f>'[1]SECTOR 1A3'!D79/1000</f>
        <v>4428.2485837602771</v>
      </c>
      <c r="E14" s="80">
        <f>'[1]SECTOR 1A3'!E79/1000</f>
        <v>4426.1881413603478</v>
      </c>
      <c r="F14" s="80">
        <f>'[1]SECTOR 1A3'!F79/1000</f>
        <v>4702.7343567431953</v>
      </c>
      <c r="G14" s="80">
        <f>'[1]SECTOR 1A3'!G79/1000</f>
        <v>4880.5850508820913</v>
      </c>
      <c r="H14" s="80">
        <f>'[1]SECTOR 1A3'!H79/1000</f>
        <v>4796.2998002800459</v>
      </c>
      <c r="J14" s="118">
        <f>POWER(H14/D14,1/(H$13-D$13))-1</f>
        <v>2.0160684120969163E-2</v>
      </c>
    </row>
    <row r="15" spans="1:10" ht="15" x14ac:dyDescent="0.35">
      <c r="B15" s="78" t="s">
        <v>264</v>
      </c>
      <c r="C15" s="79" t="s">
        <v>267</v>
      </c>
      <c r="D15" s="80">
        <f>'[1]SECTOR 1A3'!D80/1000</f>
        <v>2001.128673081837</v>
      </c>
      <c r="E15" s="80">
        <f>'[1]SECTOR 1A3'!E80/1000</f>
        <v>1938.7217684055031</v>
      </c>
      <c r="F15" s="80">
        <f>'[1]SECTOR 1A3'!F80/1000</f>
        <v>2121.7644851770674</v>
      </c>
      <c r="G15" s="80">
        <f>'[1]SECTOR 1A3'!G80/1000</f>
        <v>2104.9169179122446</v>
      </c>
      <c r="H15" s="80">
        <f>'[1]SECTOR 1A3'!H80/1000</f>
        <v>2066.5107367973178</v>
      </c>
      <c r="J15" s="118">
        <f>POWER(H15/D15,1/(H$13-D$13))-1</f>
        <v>8.0699359741780441E-3</v>
      </c>
    </row>
    <row r="16" spans="1:10" ht="15" x14ac:dyDescent="0.35">
      <c r="B16" s="78" t="s">
        <v>265</v>
      </c>
      <c r="C16" s="79" t="s">
        <v>267</v>
      </c>
      <c r="D16" s="80">
        <f>'[1]SECTOR 1A3'!D81/1000</f>
        <v>79.13595037202326</v>
      </c>
      <c r="E16" s="80">
        <f>'[1]SECTOR 1A3'!E81/1000</f>
        <v>89.551379957462018</v>
      </c>
      <c r="F16" s="80">
        <f>'[1]SECTOR 1A3'!F81/1000</f>
        <v>108.80296865633163</v>
      </c>
      <c r="G16" s="80">
        <f>'[1]SECTOR 1A3'!G81/1000</f>
        <v>107.85566508678251</v>
      </c>
      <c r="H16" s="80">
        <f>'[1]SECTOR 1A3'!H81/1000</f>
        <v>93.802809700882506</v>
      </c>
      <c r="J16" s="118">
        <f>POWER(H16/D16,1/(H$13-D$13))-1</f>
        <v>4.3423241756466613E-2</v>
      </c>
    </row>
    <row r="17" spans="2:10" ht="15" x14ac:dyDescent="0.35">
      <c r="B17" s="78" t="s">
        <v>176</v>
      </c>
      <c r="C17" s="79" t="s">
        <v>267</v>
      </c>
      <c r="D17" s="80">
        <f>'[1]SECTOR 1A3'!D82/1000</f>
        <v>122.41376132133088</v>
      </c>
      <c r="E17" s="80">
        <f>'[1]SECTOR 1A3'!E82/1000</f>
        <v>131.2350965897142</v>
      </c>
      <c r="F17" s="80">
        <f>'[1]SECTOR 1A3'!F82/1000</f>
        <v>140.05643185809754</v>
      </c>
      <c r="G17" s="80">
        <f>'[1]SECTOR 1A3'!G82/1000</f>
        <v>148.87776712648088</v>
      </c>
      <c r="H17" s="80">
        <f>'[1]SECTOR 1A3'!H82/1000</f>
        <v>157.69910239486418</v>
      </c>
      <c r="J17" s="118">
        <f>POWER(H17/D17,1/(H$13-D$13))-1</f>
        <v>6.5368237501614024E-2</v>
      </c>
    </row>
    <row r="18" spans="2:10" s="24" customFormat="1" ht="15" x14ac:dyDescent="0.35">
      <c r="B18" s="78" t="s">
        <v>185</v>
      </c>
      <c r="C18" s="79" t="s">
        <v>267</v>
      </c>
      <c r="D18" s="80">
        <f>SUM(D14:D17)</f>
        <v>6630.9269685354675</v>
      </c>
      <c r="E18" s="80">
        <f t="shared" ref="E18:H18" si="0">SUM(E14:E17)</f>
        <v>6585.6963863130268</v>
      </c>
      <c r="F18" s="80">
        <f t="shared" si="0"/>
        <v>7073.3582424346914</v>
      </c>
      <c r="G18" s="80">
        <f t="shared" si="0"/>
        <v>7242.2354010075987</v>
      </c>
      <c r="H18" s="80">
        <f t="shared" si="0"/>
        <v>7114.3124491731105</v>
      </c>
      <c r="J18" s="118">
        <f>POWER(H18/D18,1/(H$13-D$13))-1</f>
        <v>1.7746628860585867E-2</v>
      </c>
    </row>
    <row r="19" spans="2:10" s="46" customFormat="1" x14ac:dyDescent="0.3">
      <c r="B19" s="81" t="s">
        <v>257</v>
      </c>
      <c r="C19" s="82"/>
      <c r="D19" s="83"/>
      <c r="E19" s="83"/>
      <c r="F19" s="83"/>
      <c r="G19" s="83"/>
      <c r="H19" s="83"/>
      <c r="J19" s="33"/>
    </row>
    <row r="20" spans="2:10" x14ac:dyDescent="0.3">
      <c r="B20" s="81" t="s">
        <v>258</v>
      </c>
      <c r="C20" s="84"/>
    </row>
    <row r="21" spans="2:10" x14ac:dyDescent="0.3">
      <c r="B21" s="81" t="s">
        <v>182</v>
      </c>
      <c r="C21" s="84"/>
    </row>
    <row r="23" spans="2:10" x14ac:dyDescent="0.3">
      <c r="B23" s="23" t="s">
        <v>183</v>
      </c>
    </row>
    <row r="24" spans="2:10" x14ac:dyDescent="0.3">
      <c r="B24" s="26" t="s">
        <v>174</v>
      </c>
      <c r="C24" s="26" t="s">
        <v>177</v>
      </c>
      <c r="D24" s="26">
        <v>2013</v>
      </c>
      <c r="E24" s="26" t="s">
        <v>178</v>
      </c>
      <c r="F24" s="26" t="s">
        <v>179</v>
      </c>
      <c r="G24" s="26" t="s">
        <v>180</v>
      </c>
      <c r="H24" s="26" t="s">
        <v>181</v>
      </c>
      <c r="J24" s="34" t="s">
        <v>186</v>
      </c>
    </row>
    <row r="25" spans="2:10" x14ac:dyDescent="0.3">
      <c r="B25" s="27" t="s">
        <v>175</v>
      </c>
      <c r="C25" s="28"/>
      <c r="D25" s="33">
        <f>D14/D$18</f>
        <v>0.66781742654878273</v>
      </c>
      <c r="E25" s="33">
        <f t="shared" ref="E25:H25" si="1">E14/E$18</f>
        <v>0.67209113231506412</v>
      </c>
      <c r="F25" s="33">
        <f t="shared" si="1"/>
        <v>0.66485171478102412</v>
      </c>
      <c r="G25" s="33">
        <f t="shared" si="1"/>
        <v>0.67390588411460151</v>
      </c>
      <c r="H25" s="33">
        <f t="shared" si="1"/>
        <v>0.67417615328906666</v>
      </c>
      <c r="J25" s="35">
        <f>AVERAGE(D25:H25)</f>
        <v>0.67056846220970778</v>
      </c>
    </row>
    <row r="26" spans="2:10" x14ac:dyDescent="0.3">
      <c r="B26" s="27" t="s">
        <v>264</v>
      </c>
      <c r="C26" s="28"/>
      <c r="D26" s="33">
        <f t="shared" ref="D26:H26" si="2">D15/D$18</f>
        <v>0.30178716830654734</v>
      </c>
      <c r="E26" s="33">
        <f t="shared" si="2"/>
        <v>0.29438371505171801</v>
      </c>
      <c r="F26" s="33">
        <f t="shared" si="2"/>
        <v>0.29996564749797594</v>
      </c>
      <c r="G26" s="33">
        <f t="shared" si="2"/>
        <v>0.29064464234611753</v>
      </c>
      <c r="H26" s="33">
        <f t="shared" si="2"/>
        <v>0.29047230516808498</v>
      </c>
      <c r="J26" s="35">
        <f>AVERAGE(D26:H26)</f>
        <v>0.29545069567408877</v>
      </c>
    </row>
    <row r="27" spans="2:10" x14ac:dyDescent="0.3">
      <c r="B27" s="27" t="s">
        <v>265</v>
      </c>
      <c r="C27" s="28"/>
      <c r="D27" s="33">
        <f t="shared" ref="D27:H27" si="3">D16/D$18</f>
        <v>1.1934372184693438E-2</v>
      </c>
      <c r="E27" s="33">
        <f t="shared" si="3"/>
        <v>1.3597860378680009E-2</v>
      </c>
      <c r="F27" s="33">
        <f t="shared" si="3"/>
        <v>1.5382080891025393E-2</v>
      </c>
      <c r="G27" s="33">
        <f t="shared" si="3"/>
        <v>1.4892593117282096E-2</v>
      </c>
      <c r="H27" s="33">
        <f t="shared" si="3"/>
        <v>1.3185084345260252E-2</v>
      </c>
      <c r="J27" s="35">
        <f>AVERAGE(D27:H27)</f>
        <v>1.3798398183388239E-2</v>
      </c>
    </row>
    <row r="28" spans="2:10" x14ac:dyDescent="0.3">
      <c r="B28" s="27" t="s">
        <v>176</v>
      </c>
      <c r="C28" s="28"/>
      <c r="D28" s="33">
        <f t="shared" ref="D28:H28" si="4">D17/D$18</f>
        <v>1.8461032959976583E-2</v>
      </c>
      <c r="E28" s="33">
        <f t="shared" si="4"/>
        <v>1.9927292254537959E-2</v>
      </c>
      <c r="F28" s="33">
        <f t="shared" si="4"/>
        <v>1.9800556829974624E-2</v>
      </c>
      <c r="G28" s="33">
        <f t="shared" si="4"/>
        <v>2.0556880421998956E-2</v>
      </c>
      <c r="H28" s="33">
        <f t="shared" si="4"/>
        <v>2.2166457197588137E-2</v>
      </c>
      <c r="J28" s="35">
        <f>AVERAGE(D28:H28)</f>
        <v>2.0182443932815253E-2</v>
      </c>
    </row>
  </sheetData>
  <pageMargins left="0.7" right="0.7" top="0.75" bottom="0.75" header="0.3" footer="0.3"/>
  <ignoredErrors>
    <ignoredError sqref="E13:H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E6B0-3F51-441F-A460-7FE4EBCDBF42}">
  <dimension ref="A3:M41"/>
  <sheetViews>
    <sheetView topLeftCell="A28" zoomScaleNormal="100" workbookViewId="0">
      <selection activeCell="L39" sqref="L39"/>
    </sheetView>
  </sheetViews>
  <sheetFormatPr defaultColWidth="8.88671875" defaultRowHeight="14.4" x14ac:dyDescent="0.3"/>
  <cols>
    <col min="2" max="2" width="12.44140625" bestFit="1" customWidth="1"/>
    <col min="3" max="3" width="11.44140625" bestFit="1" customWidth="1"/>
  </cols>
  <sheetData>
    <row r="3" spans="1:13" s="46" customFormat="1" x14ac:dyDescent="0.3"/>
    <row r="4" spans="1:13" s="46" customFormat="1" x14ac:dyDescent="0.3"/>
    <row r="5" spans="1:13" ht="18" x14ac:dyDescent="0.4">
      <c r="A5" s="25" t="s">
        <v>167</v>
      </c>
    </row>
    <row r="7" spans="1:13" ht="15.6" x14ac:dyDescent="0.3">
      <c r="A7" s="11" t="s">
        <v>166</v>
      </c>
      <c r="B7" s="11"/>
      <c r="C7" s="11"/>
      <c r="D7" s="11"/>
      <c r="E7" s="11"/>
      <c r="F7" s="11"/>
      <c r="G7" s="10">
        <v>2013</v>
      </c>
      <c r="H7" s="10">
        <v>2014</v>
      </c>
      <c r="I7" s="10">
        <v>2015</v>
      </c>
      <c r="J7" s="10">
        <v>2016</v>
      </c>
      <c r="K7" s="10">
        <v>2017</v>
      </c>
      <c r="M7" s="10" t="s">
        <v>192</v>
      </c>
    </row>
    <row r="8" spans="1:13" ht="15.6" x14ac:dyDescent="0.3">
      <c r="A8" s="98" t="s">
        <v>90</v>
      </c>
      <c r="B8" s="98"/>
      <c r="C8" s="98"/>
      <c r="D8" s="98"/>
      <c r="E8" s="98"/>
      <c r="F8" s="99"/>
    </row>
    <row r="9" spans="1:13" x14ac:dyDescent="0.3">
      <c r="A9" s="95" t="s">
        <v>91</v>
      </c>
      <c r="B9" s="95"/>
      <c r="C9" s="95"/>
      <c r="D9" s="95"/>
      <c r="E9" s="95"/>
      <c r="F9" s="95"/>
      <c r="G9" s="47">
        <f>G10+G20</f>
        <v>7516.7164350902303</v>
      </c>
      <c r="H9" s="47">
        <f t="shared" ref="H9:K9" si="0">H10+H20</f>
        <v>7583.2876717706567</v>
      </c>
      <c r="I9" s="47">
        <f t="shared" si="0"/>
        <v>7907.5949442675555</v>
      </c>
      <c r="J9" s="47">
        <f t="shared" si="0"/>
        <v>8910.0788705526593</v>
      </c>
      <c r="K9" s="47">
        <f t="shared" si="0"/>
        <v>9218.2190274270561</v>
      </c>
      <c r="M9" s="118">
        <f>POWER(K9/G9,1/(K$7-G$7))-1</f>
        <v>5.2336693673311618E-2</v>
      </c>
    </row>
    <row r="10" spans="1:13" x14ac:dyDescent="0.3">
      <c r="A10" s="96" t="s">
        <v>92</v>
      </c>
      <c r="B10" s="96"/>
      <c r="C10" s="96"/>
      <c r="D10" s="96"/>
      <c r="E10" s="96"/>
      <c r="F10" s="96"/>
      <c r="G10" s="47">
        <f>SUM(G11:G19)</f>
        <v>3359.7063463012</v>
      </c>
      <c r="H10" s="47">
        <f t="shared" ref="H10:K10" si="1">SUM(H11:H19)</f>
        <v>3435.8824042787996</v>
      </c>
      <c r="I10" s="47">
        <f t="shared" si="1"/>
        <v>3599.2854614528001</v>
      </c>
      <c r="J10" s="47">
        <f t="shared" si="1"/>
        <v>3979.8496345103999</v>
      </c>
      <c r="K10" s="47">
        <f t="shared" si="1"/>
        <v>4079.8617956040007</v>
      </c>
      <c r="M10" s="118">
        <f>POWER(K10/G10,1/(K$7-G$7))-1</f>
        <v>4.975036181361614E-2</v>
      </c>
    </row>
    <row r="11" spans="1:13" x14ac:dyDescent="0.3">
      <c r="A11" s="100" t="s">
        <v>93</v>
      </c>
      <c r="B11" s="100"/>
      <c r="C11" s="100"/>
      <c r="D11" s="100"/>
      <c r="E11" s="100"/>
      <c r="F11" s="100"/>
      <c r="G11" s="47">
        <f>'InvEstatalGEI_Chihuahua13-17 B'!G111</f>
        <v>3237.0198383011998</v>
      </c>
      <c r="H11" s="47">
        <f>'InvEstatalGEI_Chihuahua13-17 B'!H111</f>
        <v>3315.9102162787999</v>
      </c>
      <c r="I11" s="47">
        <f>'InvEstatalGEI_Chihuahua13-17 B'!I111</f>
        <v>3479.1418364527999</v>
      </c>
      <c r="J11" s="47">
        <f>'InvEstatalGEI_Chihuahua13-17 B'!J111</f>
        <v>3860.5180900104001</v>
      </c>
      <c r="K11" s="47">
        <f>'InvEstatalGEI_Chihuahua13-17 B'!K111</f>
        <v>3960.1264578540004</v>
      </c>
    </row>
    <row r="12" spans="1:13" x14ac:dyDescent="0.3">
      <c r="A12" s="100" t="s">
        <v>94</v>
      </c>
      <c r="B12" s="100"/>
      <c r="C12" s="100"/>
      <c r="D12" s="100"/>
      <c r="E12" s="100"/>
      <c r="F12" s="100"/>
      <c r="G12" s="47">
        <f>'InvEstatalGEI_Chihuahua13-17 B'!G112</f>
        <v>0</v>
      </c>
      <c r="H12" s="47">
        <f>'InvEstatalGEI_Chihuahua13-17 B'!H112</f>
        <v>0</v>
      </c>
      <c r="I12" s="47">
        <f>'InvEstatalGEI_Chihuahua13-17 B'!I112</f>
        <v>0</v>
      </c>
      <c r="J12" s="47">
        <f>'InvEstatalGEI_Chihuahua13-17 B'!J112</f>
        <v>0</v>
      </c>
      <c r="K12" s="47">
        <f>'InvEstatalGEI_Chihuahua13-17 B'!K112</f>
        <v>0</v>
      </c>
    </row>
    <row r="13" spans="1:13" s="46" customFormat="1" x14ac:dyDescent="0.3">
      <c r="A13" s="100" t="s">
        <v>95</v>
      </c>
      <c r="B13" s="100"/>
      <c r="C13" s="100"/>
      <c r="D13" s="100"/>
      <c r="E13" s="100"/>
      <c r="F13" s="100"/>
      <c r="G13" s="47">
        <f>'InvEstatalGEI_Chihuahua13-17 B'!G113</f>
        <v>25.926039999999997</v>
      </c>
      <c r="H13" s="47">
        <f>'InvEstatalGEI_Chihuahua13-17 B'!H113</f>
        <v>26.621559999999999</v>
      </c>
      <c r="I13" s="47">
        <f>'InvEstatalGEI_Chihuahua13-17 B'!I113</f>
        <v>26.02628</v>
      </c>
      <c r="J13" s="47">
        <f>'InvEstatalGEI_Chihuahua13-17 B'!J113</f>
        <v>26.003740000000001</v>
      </c>
      <c r="K13" s="47">
        <f>'InvEstatalGEI_Chihuahua13-17 B'!K113</f>
        <v>26.260499999999997</v>
      </c>
    </row>
    <row r="14" spans="1:13" s="46" customFormat="1" x14ac:dyDescent="0.3">
      <c r="A14" s="100" t="s">
        <v>96</v>
      </c>
      <c r="B14" s="100"/>
      <c r="C14" s="100"/>
      <c r="D14" s="100"/>
      <c r="E14" s="100"/>
      <c r="F14" s="100"/>
      <c r="G14" s="47">
        <f>'InvEstatalGEI_Chihuahua13-17 B'!G114</f>
        <v>21.499659999999999</v>
      </c>
      <c r="H14" s="47">
        <f>'InvEstatalGEI_Chihuahua13-17 B'!H114</f>
        <v>21.545999999999999</v>
      </c>
      <c r="I14" s="47">
        <f>'InvEstatalGEI_Chihuahua13-17 B'!I114</f>
        <v>21.3325</v>
      </c>
      <c r="J14" s="47">
        <f>'InvEstatalGEI_Chihuahua13-17 B'!J114</f>
        <v>21.224139999999998</v>
      </c>
      <c r="K14" s="47">
        <f>'InvEstatalGEI_Chihuahua13-17 B'!K114</f>
        <v>20.977599999999999</v>
      </c>
    </row>
    <row r="15" spans="1:13" s="46" customFormat="1" x14ac:dyDescent="0.3">
      <c r="A15" s="100" t="s">
        <v>97</v>
      </c>
      <c r="B15" s="100"/>
      <c r="C15" s="100"/>
      <c r="D15" s="100"/>
      <c r="E15" s="100"/>
      <c r="F15" s="100"/>
      <c r="G15" s="47">
        <f>'InvEstatalGEI_Chihuahua13-17 B'!G115</f>
        <v>0</v>
      </c>
      <c r="H15" s="47">
        <f>'InvEstatalGEI_Chihuahua13-17 B'!H115</f>
        <v>0</v>
      </c>
      <c r="I15" s="47">
        <f>'InvEstatalGEI_Chihuahua13-17 B'!I115</f>
        <v>0</v>
      </c>
      <c r="J15" s="47">
        <f>'InvEstatalGEI_Chihuahua13-17 B'!J115</f>
        <v>0</v>
      </c>
      <c r="K15" s="47">
        <f>'InvEstatalGEI_Chihuahua13-17 B'!K115</f>
        <v>0</v>
      </c>
    </row>
    <row r="16" spans="1:13" s="46" customFormat="1" x14ac:dyDescent="0.3">
      <c r="A16" s="100" t="s">
        <v>98</v>
      </c>
      <c r="B16" s="100"/>
      <c r="C16" s="100"/>
      <c r="D16" s="100"/>
      <c r="E16" s="100"/>
      <c r="F16" s="100"/>
      <c r="G16" s="47">
        <f>'InvEstatalGEI_Chihuahua13-17 B'!G116</f>
        <v>32.829551999999993</v>
      </c>
      <c r="H16" s="47">
        <f>'InvEstatalGEI_Chihuahua13-17 B'!H116</f>
        <v>32.186952000000005</v>
      </c>
      <c r="I16" s="47">
        <f>'InvEstatalGEI_Chihuahua13-17 B'!I116</f>
        <v>32.508251999999999</v>
      </c>
      <c r="J16" s="47">
        <f>'InvEstatalGEI_Chihuahua13-17 B'!J116</f>
        <v>32.347602000000002</v>
      </c>
      <c r="K16" s="47">
        <f>'InvEstatalGEI_Chihuahua13-17 B'!K116</f>
        <v>32.427926999999997</v>
      </c>
    </row>
    <row r="17" spans="1:13" s="46" customFormat="1" x14ac:dyDescent="0.3">
      <c r="A17" s="100" t="s">
        <v>99</v>
      </c>
      <c r="B17" s="100"/>
      <c r="C17" s="100"/>
      <c r="D17" s="100"/>
      <c r="E17" s="100"/>
      <c r="F17" s="100"/>
      <c r="G17" s="47">
        <f>'InvEstatalGEI_Chihuahua13-17 B'!G117</f>
        <v>34.106940000000002</v>
      </c>
      <c r="H17" s="47">
        <f>'InvEstatalGEI_Chihuahua13-17 B'!H117</f>
        <v>33.38937</v>
      </c>
      <c r="I17" s="47">
        <f>'InvEstatalGEI_Chihuahua13-17 B'!I117</f>
        <v>33.748155000000004</v>
      </c>
      <c r="J17" s="47">
        <f>'InvEstatalGEI_Chihuahua13-17 B'!J117</f>
        <v>33.554762500000002</v>
      </c>
      <c r="K17" s="47">
        <f>'InvEstatalGEI_Chihuahua13-17 B'!K117</f>
        <v>33.651458749999996</v>
      </c>
    </row>
    <row r="18" spans="1:13" s="46" customFormat="1" x14ac:dyDescent="0.3">
      <c r="A18" s="100" t="s">
        <v>100</v>
      </c>
      <c r="B18" s="100"/>
      <c r="C18" s="100"/>
      <c r="D18" s="100"/>
      <c r="E18" s="100"/>
      <c r="F18" s="100"/>
      <c r="G18" s="47">
        <f>'InvEstatalGEI_Chihuahua13-17 B'!G118</f>
        <v>8.3243159999999996</v>
      </c>
      <c r="H18" s="47">
        <f>'InvEstatalGEI_Chihuahua13-17 B'!H118</f>
        <v>6.2283059999999999</v>
      </c>
      <c r="I18" s="47">
        <f>'InvEstatalGEI_Chihuahua13-17 B'!I118</f>
        <v>6.5284379999999986</v>
      </c>
      <c r="J18" s="47">
        <f>'InvEstatalGEI_Chihuahua13-17 B'!J118</f>
        <v>6.2012999999999998</v>
      </c>
      <c r="K18" s="47">
        <f>'InvEstatalGEI_Chihuahua13-17 B'!K118</f>
        <v>6.4178519999999999</v>
      </c>
    </row>
    <row r="19" spans="1:13" s="46" customFormat="1" x14ac:dyDescent="0.3">
      <c r="A19" s="100" t="s">
        <v>101</v>
      </c>
      <c r="B19" s="100"/>
      <c r="C19" s="100"/>
      <c r="D19" s="100"/>
      <c r="E19" s="100"/>
      <c r="F19" s="100"/>
      <c r="G19" s="47">
        <f>'InvEstatalGEI_Chihuahua13-17 B'!G119</f>
        <v>0</v>
      </c>
      <c r="H19" s="47">
        <f>'InvEstatalGEI_Chihuahua13-17 B'!H119</f>
        <v>0</v>
      </c>
      <c r="I19" s="47">
        <f>'InvEstatalGEI_Chihuahua13-17 B'!I119</f>
        <v>0</v>
      </c>
      <c r="J19" s="47">
        <f>'InvEstatalGEI_Chihuahua13-17 B'!J119</f>
        <v>0</v>
      </c>
      <c r="K19" s="47">
        <f>'InvEstatalGEI_Chihuahua13-17 B'!K119</f>
        <v>0</v>
      </c>
    </row>
    <row r="20" spans="1:13" s="46" customFormat="1" x14ac:dyDescent="0.3">
      <c r="A20" s="96" t="s">
        <v>102</v>
      </c>
      <c r="B20" s="96"/>
      <c r="C20" s="96"/>
      <c r="D20" s="96"/>
      <c r="E20" s="96"/>
      <c r="F20" s="96"/>
      <c r="G20" s="47">
        <f>SUM(G21:G29)</f>
        <v>4157.0100887890303</v>
      </c>
      <c r="H20" s="47">
        <f t="shared" ref="H20:K20" si="2">SUM(H21:H29)</f>
        <v>4147.4052674918576</v>
      </c>
      <c r="I20" s="47">
        <f t="shared" si="2"/>
        <v>4308.3094828147559</v>
      </c>
      <c r="J20" s="47">
        <f t="shared" si="2"/>
        <v>4930.2292360422589</v>
      </c>
      <c r="K20" s="47">
        <f t="shared" si="2"/>
        <v>5138.3572318230554</v>
      </c>
      <c r="M20" s="118">
        <f>POWER(K20/G20,1/(K$7-G$7))-1</f>
        <v>5.4413126678213741E-2</v>
      </c>
    </row>
    <row r="21" spans="1:13" s="46" customFormat="1" x14ac:dyDescent="0.3">
      <c r="A21" s="100" t="s">
        <v>103</v>
      </c>
      <c r="B21" s="100"/>
      <c r="C21" s="100"/>
      <c r="D21" s="100"/>
      <c r="E21" s="100"/>
      <c r="F21" s="100"/>
      <c r="G21" s="47">
        <f>'InvEstatalGEI_Chihuahua13-17 B'!G121</f>
        <v>3600.3411524080839</v>
      </c>
      <c r="H21" s="47">
        <f>'InvEstatalGEI_Chihuahua13-17 B'!H121</f>
        <v>3684.2695272366668</v>
      </c>
      <c r="I21" s="47">
        <f>'InvEstatalGEI_Chihuahua13-17 B'!I121</f>
        <v>3817.6399996797709</v>
      </c>
      <c r="J21" s="47">
        <f>'InvEstatalGEI_Chihuahua13-17 B'!J121</f>
        <v>4423.6938958774172</v>
      </c>
      <c r="K21" s="47">
        <f>'InvEstatalGEI_Chihuahua13-17 B'!K121</f>
        <v>4605.358367948681</v>
      </c>
    </row>
    <row r="22" spans="1:13" s="46" customFormat="1" x14ac:dyDescent="0.3">
      <c r="A22" s="100" t="s">
        <v>104</v>
      </c>
      <c r="B22" s="100"/>
      <c r="C22" s="100"/>
      <c r="D22" s="100"/>
      <c r="E22" s="100"/>
      <c r="F22" s="100"/>
      <c r="G22" s="47">
        <f>'InvEstatalGEI_Chihuahua13-17 B'!G122</f>
        <v>0</v>
      </c>
      <c r="H22" s="47">
        <f>'InvEstatalGEI_Chihuahua13-17 B'!H122</f>
        <v>0</v>
      </c>
      <c r="I22" s="47">
        <f>'InvEstatalGEI_Chihuahua13-17 B'!I122</f>
        <v>0</v>
      </c>
      <c r="J22" s="47">
        <f>'InvEstatalGEI_Chihuahua13-17 B'!J122</f>
        <v>0</v>
      </c>
      <c r="K22" s="47">
        <f>'InvEstatalGEI_Chihuahua13-17 B'!K122</f>
        <v>0</v>
      </c>
    </row>
    <row r="23" spans="1:13" s="46" customFormat="1" x14ac:dyDescent="0.3">
      <c r="A23" s="100" t="s">
        <v>105</v>
      </c>
      <c r="B23" s="100"/>
      <c r="C23" s="100"/>
      <c r="D23" s="100"/>
      <c r="E23" s="100"/>
      <c r="F23" s="100"/>
      <c r="G23" s="47">
        <f>'InvEstatalGEI_Chihuahua13-17 B'!G123</f>
        <v>31.660152466888604</v>
      </c>
      <c r="H23" s="47">
        <f>'InvEstatalGEI_Chihuahua13-17 B'!H123</f>
        <v>33.055971647463423</v>
      </c>
      <c r="I23" s="47">
        <f>'InvEstatalGEI_Chihuahua13-17 B'!I123</f>
        <v>34.224070953248166</v>
      </c>
      <c r="J23" s="47">
        <f>'InvEstatalGEI_Chihuahua13-17 B'!J123</f>
        <v>34.340430077848303</v>
      </c>
      <c r="K23" s="47">
        <f>'InvEstatalGEI_Chihuahua13-17 B'!K123</f>
        <v>34.754227179338415</v>
      </c>
    </row>
    <row r="24" spans="1:13" s="46" customFormat="1" x14ac:dyDescent="0.3">
      <c r="A24" s="100" t="s">
        <v>106</v>
      </c>
      <c r="B24" s="100"/>
      <c r="C24" s="100"/>
      <c r="D24" s="100"/>
      <c r="E24" s="100"/>
      <c r="F24" s="100"/>
      <c r="G24" s="47">
        <f>'InvEstatalGEI_Chihuahua13-17 B'!G124</f>
        <v>29.554748148361401</v>
      </c>
      <c r="H24" s="47">
        <f>'InvEstatalGEI_Chihuahua13-17 B'!H124</f>
        <v>30.871935974272862</v>
      </c>
      <c r="I24" s="47">
        <f>'InvEstatalGEI_Chihuahua13-17 B'!I124</f>
        <v>32.375800974391097</v>
      </c>
      <c r="J24" s="47">
        <f>'InvEstatalGEI_Chihuahua13-17 B'!J124</f>
        <v>32.532603954386339</v>
      </c>
      <c r="K24" s="47">
        <f>'InvEstatalGEI_Chihuahua13-17 B'!K124</f>
        <v>32.759139142764404</v>
      </c>
    </row>
    <row r="25" spans="1:13" s="46" customFormat="1" x14ac:dyDescent="0.3">
      <c r="A25" s="100" t="s">
        <v>107</v>
      </c>
      <c r="B25" s="100"/>
      <c r="C25" s="100"/>
      <c r="D25" s="100"/>
      <c r="E25" s="100"/>
      <c r="F25" s="100"/>
      <c r="G25" s="47">
        <f>'InvEstatalGEI_Chihuahua13-17 B'!G125</f>
        <v>0</v>
      </c>
      <c r="H25" s="47">
        <f>'InvEstatalGEI_Chihuahua13-17 B'!H125</f>
        <v>0</v>
      </c>
      <c r="I25" s="47">
        <f>'InvEstatalGEI_Chihuahua13-17 B'!I125</f>
        <v>0</v>
      </c>
      <c r="J25" s="47">
        <f>'InvEstatalGEI_Chihuahua13-17 B'!J125</f>
        <v>0</v>
      </c>
      <c r="K25" s="47">
        <f>'InvEstatalGEI_Chihuahua13-17 B'!K125</f>
        <v>0</v>
      </c>
    </row>
    <row r="26" spans="1:13" s="46" customFormat="1" x14ac:dyDescent="0.3">
      <c r="A26" s="100" t="s">
        <v>108</v>
      </c>
      <c r="B26" s="100"/>
      <c r="C26" s="100"/>
      <c r="D26" s="100"/>
      <c r="E26" s="100"/>
      <c r="F26" s="100"/>
      <c r="G26" s="47">
        <f>'InvEstatalGEI_Chihuahua13-17 B'!G126</f>
        <v>27.837955455382399</v>
      </c>
      <c r="H26" s="47">
        <f>'InvEstatalGEI_Chihuahua13-17 B'!H126</f>
        <v>28.695936745596857</v>
      </c>
      <c r="I26" s="47">
        <f>'InvEstatalGEI_Chihuahua13-17 B'!I126</f>
        <v>30.238181881490895</v>
      </c>
      <c r="J26" s="47">
        <f>'InvEstatalGEI_Chihuahua13-17 B'!J126</f>
        <v>30.318824203057737</v>
      </c>
      <c r="K26" s="47">
        <f>'InvEstatalGEI_Chihuahua13-17 B'!K126</f>
        <v>30.127642238364402</v>
      </c>
    </row>
    <row r="27" spans="1:13" s="46" customFormat="1" x14ac:dyDescent="0.3">
      <c r="A27" s="100" t="s">
        <v>109</v>
      </c>
      <c r="B27" s="100"/>
      <c r="C27" s="100"/>
      <c r="D27" s="100"/>
      <c r="E27" s="100"/>
      <c r="F27" s="100"/>
      <c r="G27" s="47">
        <f>'InvEstatalGEI_Chihuahua13-17 B'!G127</f>
        <v>89.274557260122293</v>
      </c>
      <c r="H27" s="47">
        <f>'InvEstatalGEI_Chihuahua13-17 B'!H127</f>
        <v>87.258943875855437</v>
      </c>
      <c r="I27" s="47">
        <f>'InvEstatalGEI_Chihuahua13-17 B'!I127</f>
        <v>96.473237003361248</v>
      </c>
      <c r="J27" s="47">
        <f>'InvEstatalGEI_Chihuahua13-17 B'!J127</f>
        <v>95.914263019503124</v>
      </c>
      <c r="K27" s="47">
        <f>'InvEstatalGEI_Chihuahua13-17 B'!K127</f>
        <v>96.193751165085104</v>
      </c>
    </row>
    <row r="28" spans="1:13" s="46" customFormat="1" x14ac:dyDescent="0.3">
      <c r="A28" s="100" t="s">
        <v>110</v>
      </c>
      <c r="B28" s="100"/>
      <c r="C28" s="100"/>
      <c r="D28" s="100"/>
      <c r="E28" s="100"/>
      <c r="F28" s="100"/>
      <c r="G28" s="47">
        <f>'InvEstatalGEI_Chihuahua13-17 B'!G128</f>
        <v>376.37814498814066</v>
      </c>
      <c r="H28" s="47">
        <f>'InvEstatalGEI_Chihuahua13-17 B'!H128</f>
        <v>280.89905748748203</v>
      </c>
      <c r="I28" s="47">
        <f>'InvEstatalGEI_Chihuahua13-17 B'!I128</f>
        <v>294.61689804863721</v>
      </c>
      <c r="J28" s="47">
        <f>'InvEstatalGEI_Chihuahua13-17 B'!J128</f>
        <v>310.81561046685277</v>
      </c>
      <c r="K28" s="47">
        <f>'InvEstatalGEI_Chihuahua13-17 B'!K128</f>
        <v>336.77351768986881</v>
      </c>
    </row>
    <row r="29" spans="1:13" s="46" customFormat="1" x14ac:dyDescent="0.3">
      <c r="A29" s="100" t="s">
        <v>111</v>
      </c>
      <c r="B29" s="100"/>
      <c r="C29" s="100"/>
      <c r="D29" s="100"/>
      <c r="E29" s="100"/>
      <c r="F29" s="100"/>
      <c r="G29" s="47">
        <f>'InvEstatalGEI_Chihuahua13-17 B'!G129</f>
        <v>1.9633780620509471</v>
      </c>
      <c r="H29" s="47">
        <f>'InvEstatalGEI_Chihuahua13-17 B'!H129</f>
        <v>2.3538945245203906</v>
      </c>
      <c r="I29" s="47">
        <f>'InvEstatalGEI_Chihuahua13-17 B'!I129</f>
        <v>2.7412942738564872</v>
      </c>
      <c r="J29" s="47">
        <f>'InvEstatalGEI_Chihuahua13-17 B'!J129</f>
        <v>2.6136084431944884</v>
      </c>
      <c r="K29" s="47">
        <f>'InvEstatalGEI_Chihuahua13-17 B'!K129</f>
        <v>2.3905864589538037</v>
      </c>
    </row>
    <row r="30" spans="1:13" s="46" customFormat="1" x14ac:dyDescent="0.3">
      <c r="A30" s="100" t="s">
        <v>112</v>
      </c>
      <c r="B30" s="100"/>
      <c r="C30" s="100"/>
      <c r="D30" s="100"/>
      <c r="E30" s="100"/>
      <c r="F30" s="100"/>
    </row>
    <row r="31" spans="1:13" s="46" customFormat="1" x14ac:dyDescent="0.3">
      <c r="A31" s="46" t="s">
        <v>193</v>
      </c>
    </row>
    <row r="32" spans="1:13" s="46" customFormat="1" x14ac:dyDescent="0.3"/>
    <row r="33" spans="1:5" x14ac:dyDescent="0.3">
      <c r="A33" s="46"/>
      <c r="B33" s="116" t="s">
        <v>191</v>
      </c>
      <c r="C33" s="116"/>
      <c r="D33" t="s">
        <v>194</v>
      </c>
      <c r="E33" s="46"/>
    </row>
    <row r="34" spans="1:5" x14ac:dyDescent="0.3">
      <c r="A34" s="46" t="s">
        <v>187</v>
      </c>
      <c r="B34" s="49" t="s">
        <v>190</v>
      </c>
      <c r="C34" s="48" t="s">
        <v>189</v>
      </c>
      <c r="D34" t="s">
        <v>195</v>
      </c>
      <c r="E34" s="46"/>
    </row>
    <row r="35" spans="1:5" x14ac:dyDescent="0.3">
      <c r="A35" s="46">
        <v>2013</v>
      </c>
      <c r="B35" s="50">
        <v>1676947</v>
      </c>
      <c r="C35" s="50">
        <v>258069</v>
      </c>
      <c r="D35">
        <f>B35/C35</f>
        <v>6.4980567212644678</v>
      </c>
      <c r="E35" s="46"/>
    </row>
    <row r="36" spans="1:5" x14ac:dyDescent="0.3">
      <c r="A36" s="46">
        <v>2014</v>
      </c>
      <c r="B36" s="50">
        <v>1708423</v>
      </c>
      <c r="C36" s="50">
        <v>269940</v>
      </c>
      <c r="D36" s="46">
        <f>B36/C36</f>
        <v>6.3288990145958364</v>
      </c>
      <c r="E36" s="46"/>
    </row>
    <row r="37" spans="1:5" x14ac:dyDescent="0.3">
      <c r="A37" s="46">
        <v>2015</v>
      </c>
      <c r="B37" s="50">
        <v>1804348</v>
      </c>
      <c r="C37" s="50">
        <v>276202</v>
      </c>
      <c r="D37" s="46">
        <f>B37/C37</f>
        <v>6.5327115661725834</v>
      </c>
      <c r="E37" s="46"/>
    </row>
    <row r="38" spans="1:5" x14ac:dyDescent="0.3">
      <c r="A38" s="46">
        <v>2016</v>
      </c>
      <c r="B38" s="50">
        <v>2054634</v>
      </c>
      <c r="C38" s="50">
        <v>275285</v>
      </c>
      <c r="D38" s="46">
        <f>B38/C38</f>
        <v>7.4636612964745623</v>
      </c>
      <c r="E38" s="46"/>
    </row>
    <row r="39" spans="1:5" x14ac:dyDescent="0.3">
      <c r="A39" s="41">
        <v>2017</v>
      </c>
      <c r="B39" s="50">
        <v>2103645</v>
      </c>
      <c r="C39" s="45">
        <v>284766</v>
      </c>
      <c r="D39" s="46">
        <f>B39/C39</f>
        <v>7.3872758686079099</v>
      </c>
      <c r="E39" s="46"/>
    </row>
    <row r="40" spans="1:5" x14ac:dyDescent="0.3">
      <c r="A40" s="44" t="s">
        <v>192</v>
      </c>
      <c r="B40" s="42"/>
      <c r="C40" s="43"/>
    </row>
    <row r="41" spans="1:5" x14ac:dyDescent="0.3">
      <c r="A41" t="s">
        <v>196</v>
      </c>
    </row>
  </sheetData>
  <mergeCells count="24">
    <mergeCell ref="A28:F28"/>
    <mergeCell ref="A8:F8"/>
    <mergeCell ref="A9:F9"/>
    <mergeCell ref="A10:F10"/>
    <mergeCell ref="A11:F11"/>
    <mergeCell ref="A12:F12"/>
    <mergeCell ref="A13:F13"/>
    <mergeCell ref="A14:F14"/>
    <mergeCell ref="A15:F15"/>
    <mergeCell ref="A22:F22"/>
    <mergeCell ref="A23:F23"/>
    <mergeCell ref="A24:F24"/>
    <mergeCell ref="A25:F25"/>
    <mergeCell ref="B33:C33"/>
    <mergeCell ref="A26:F26"/>
    <mergeCell ref="A27:F27"/>
    <mergeCell ref="A16:F16"/>
    <mergeCell ref="A17:F17"/>
    <mergeCell ref="A18:F18"/>
    <mergeCell ref="A19:F19"/>
    <mergeCell ref="A20:F20"/>
    <mergeCell ref="A21:F21"/>
    <mergeCell ref="A29:F29"/>
    <mergeCell ref="A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InvEstatalGEI_Chihuahua13-17 B</vt:lpstr>
      <vt:lpstr>Inventario COCEF</vt:lpstr>
      <vt:lpstr>Por Sector B</vt:lpstr>
      <vt:lpstr>Energia B</vt:lpstr>
      <vt:lpstr>Transporte B</vt:lpstr>
      <vt:lpstr>Ganado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Sosa</dc:creator>
  <cp:lastModifiedBy>MS</cp:lastModifiedBy>
  <dcterms:created xsi:type="dcterms:W3CDTF">2018-12-25T09:12:09Z</dcterms:created>
  <dcterms:modified xsi:type="dcterms:W3CDTF">2019-04-03T04:51:09Z</dcterms:modified>
</cp:coreProperties>
</file>