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esktop\AKR\PECC Copy\00 Rev 200623\01 Potencial de mitigacion\Ganadería\"/>
    </mc:Choice>
  </mc:AlternateContent>
  <xr:revisionPtr revIDLastSave="0" documentId="13_ncr:1_{8546FCCD-0D13-47CD-8191-13FD28ECED66}" xr6:coauthVersionLast="45" xr6:coauthVersionMax="45" xr10:uidLastSave="{00000000-0000-0000-0000-000000000000}"/>
  <bookViews>
    <workbookView xWindow="20370" yWindow="-120" windowWidth="29040" windowHeight="16440" tabRatio="733" firstSheet="1" activeTab="6" xr2:uid="{2B0B4400-9B09-4013-946A-E8AF433BB725}"/>
  </bookViews>
  <sheets>
    <sheet name="Datos sobre SSPi" sheetId="4" r:id="rId1"/>
    <sheet name="CIPAV Areas y Emisiones" sheetId="12" r:id="rId2"/>
    <sheet name="Análisis a VPN SSPi sequía" sheetId="7" r:id="rId3"/>
    <sheet name="Análisis a VPN SSPi normal" sheetId="8" r:id="rId4"/>
    <sheet name="Análisis a VPN Conv-Línea base" sheetId="9" r:id="rId5"/>
    <sheet name="Grafica flujo de efectivo" sheetId="11" r:id="rId6"/>
    <sheet name="Costo marginal de abatimiento" sheetId="10" r:id="rId7"/>
    <sheet name="Cuadro 30 Poten de Mitiga SSPi" sheetId="3" r:id="rId8"/>
    <sheet name="Cuadro 31" sheetId="6" r:id="rId9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0" l="1"/>
  <c r="E62" i="10"/>
  <c r="F62" i="10"/>
  <c r="E63" i="10"/>
  <c r="F63" i="10"/>
  <c r="E64" i="10"/>
  <c r="F64" i="10"/>
  <c r="E65" i="10"/>
  <c r="F65" i="10"/>
  <c r="F61" i="10"/>
  <c r="E61" i="10"/>
  <c r="E5" i="9" l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E5" i="8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9" i="7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E28" i="11"/>
  <c r="D33" i="11" s="1"/>
  <c r="I33" i="11" s="1"/>
  <c r="E33" i="11" l="1"/>
  <c r="J33" i="11" s="1"/>
  <c r="F33" i="11"/>
  <c r="K33" i="11" s="1"/>
  <c r="D17" i="6"/>
  <c r="F122" i="4"/>
  <c r="F124" i="4"/>
  <c r="J5" i="12" l="1"/>
  <c r="J10" i="12" s="1"/>
  <c r="G32" i="10"/>
  <c r="G16" i="10"/>
  <c r="E8" i="8"/>
  <c r="F5" i="12"/>
  <c r="F6" i="12" s="1"/>
  <c r="F9" i="12" s="1"/>
  <c r="E6" i="12"/>
  <c r="L6" i="12"/>
  <c r="L9" i="12" s="1"/>
  <c r="L7" i="12" s="1"/>
  <c r="E9" i="12"/>
  <c r="F12" i="12"/>
  <c r="F13" i="12" s="1"/>
  <c r="E13" i="12"/>
  <c r="E18" i="12"/>
  <c r="E19" i="12"/>
  <c r="E22" i="12"/>
  <c r="L22" i="12"/>
  <c r="E23" i="12"/>
  <c r="J23" i="12"/>
  <c r="E24" i="12"/>
  <c r="J24" i="12"/>
  <c r="E29" i="12"/>
  <c r="J22" i="12" l="1"/>
  <c r="J29" i="12" s="1"/>
  <c r="J13" i="12"/>
  <c r="J18" i="12" s="1"/>
  <c r="F19" i="12"/>
  <c r="E20" i="12"/>
  <c r="F18" i="12"/>
  <c r="E21" i="12"/>
  <c r="F24" i="12"/>
  <c r="L24" i="12" s="1"/>
  <c r="L12" i="12" s="1"/>
  <c r="F22" i="12"/>
  <c r="F93" i="4"/>
  <c r="J11" i="12" l="1"/>
  <c r="G17" i="10"/>
  <c r="G33" i="10"/>
  <c r="F23" i="12"/>
  <c r="L23" i="12" s="1"/>
  <c r="F29" i="12"/>
  <c r="F246" i="4"/>
  <c r="D246" i="4"/>
  <c r="D243" i="4"/>
  <c r="E3" i="9"/>
  <c r="E3" i="8"/>
  <c r="I83" i="4"/>
  <c r="F94" i="4"/>
  <c r="F95" i="4"/>
  <c r="F96" i="4"/>
  <c r="F97" i="4"/>
  <c r="L13" i="12" l="1"/>
  <c r="L11" i="12"/>
  <c r="L29" i="12"/>
  <c r="H246" i="4"/>
  <c r="E134" i="4"/>
  <c r="F134" i="4"/>
  <c r="J9" i="12" s="1"/>
  <c r="D90" i="4"/>
  <c r="E90" i="4" s="1"/>
  <c r="G8" i="9"/>
  <c r="F121" i="4"/>
  <c r="F8" i="9" s="1"/>
  <c r="L9" i="9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9" i="8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9" i="7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H8" i="7"/>
  <c r="G8" i="7"/>
  <c r="E4" i="7"/>
  <c r="E8" i="7" s="1"/>
  <c r="F8" i="7"/>
  <c r="D250" i="4"/>
  <c r="D248" i="4" s="1"/>
  <c r="E250" i="4"/>
  <c r="D209" i="4"/>
  <c r="D208" i="4"/>
  <c r="F207" i="4"/>
  <c r="E207" i="4"/>
  <c r="E4" i="8" s="1"/>
  <c r="F198" i="4"/>
  <c r="D70" i="4"/>
  <c r="D69" i="4"/>
  <c r="D68" i="4"/>
  <c r="D67" i="4"/>
  <c r="E67" i="4" s="1"/>
  <c r="D66" i="4"/>
  <c r="F123" i="4"/>
  <c r="H8" i="9" s="1"/>
  <c r="E123" i="4"/>
  <c r="H8" i="8" s="1"/>
  <c r="E122" i="4"/>
  <c r="G8" i="8" s="1"/>
  <c r="E124" i="4"/>
  <c r="E121" i="4"/>
  <c r="F8" i="8" s="1"/>
  <c r="E120" i="4"/>
  <c r="F30" i="4"/>
  <c r="E30" i="4"/>
  <c r="F29" i="4"/>
  <c r="H6" i="9" s="1"/>
  <c r="E29" i="4"/>
  <c r="H6" i="8" s="1"/>
  <c r="F28" i="4"/>
  <c r="E28" i="4"/>
  <c r="F27" i="4"/>
  <c r="G6" i="9" s="1"/>
  <c r="E27" i="4"/>
  <c r="F26" i="4"/>
  <c r="E26" i="4"/>
  <c r="F25" i="4"/>
  <c r="F6" i="9" s="1"/>
  <c r="E25" i="4"/>
  <c r="F6" i="8" s="1"/>
  <c r="F21" i="4"/>
  <c r="E21" i="4"/>
  <c r="F170" i="4"/>
  <c r="E170" i="4"/>
  <c r="F169" i="4"/>
  <c r="E169" i="4"/>
  <c r="F168" i="4"/>
  <c r="E168" i="4"/>
  <c r="F167" i="4"/>
  <c r="E167" i="4"/>
  <c r="F166" i="4"/>
  <c r="F204" i="4" s="1"/>
  <c r="E166" i="4"/>
  <c r="E204" i="4" s="1"/>
  <c r="F165" i="4"/>
  <c r="F203" i="4" s="1"/>
  <c r="E165" i="4"/>
  <c r="E203" i="4" s="1"/>
  <c r="F164" i="4"/>
  <c r="F202" i="4" s="1"/>
  <c r="E164" i="4"/>
  <c r="E202" i="4" s="1"/>
  <c r="F163" i="4"/>
  <c r="E163" i="4"/>
  <c r="F162" i="4"/>
  <c r="E162" i="4"/>
  <c r="E153" i="4"/>
  <c r="E189" i="4" s="1"/>
  <c r="F152" i="4"/>
  <c r="F188" i="4" s="1"/>
  <c r="E152" i="4"/>
  <c r="E188" i="4" s="1"/>
  <c r="E151" i="4"/>
  <c r="E186" i="4" s="1"/>
  <c r="F150" i="4"/>
  <c r="F185" i="4" s="1"/>
  <c r="E150" i="4"/>
  <c r="E185" i="4" s="1"/>
  <c r="F149" i="4"/>
  <c r="F183" i="4" s="1"/>
  <c r="E149" i="4"/>
  <c r="E183" i="4" s="1"/>
  <c r="E197" i="4"/>
  <c r="E196" i="4"/>
  <c r="E195" i="4"/>
  <c r="D211" i="4"/>
  <c r="D210" i="4"/>
  <c r="D202" i="4"/>
  <c r="J12" i="12" l="1"/>
  <c r="J8" i="12"/>
  <c r="J19" i="12" s="1"/>
  <c r="J7" i="12"/>
  <c r="L19" i="12"/>
  <c r="J20" i="12"/>
  <c r="L18" i="12"/>
  <c r="J21" i="12"/>
  <c r="F66" i="4"/>
  <c r="D73" i="4"/>
  <c r="F67" i="4"/>
  <c r="F90" i="4"/>
  <c r="F148" i="4" s="1"/>
  <c r="F182" i="4" s="1"/>
  <c r="K8" i="7"/>
  <c r="M8" i="7" s="1"/>
  <c r="D6" i="11" s="1"/>
  <c r="I6" i="11" s="1"/>
  <c r="E210" i="4"/>
  <c r="E66" i="4"/>
  <c r="E219" i="4" s="1"/>
  <c r="E220" i="4" s="1"/>
  <c r="D219" i="4"/>
  <c r="D220" i="4" s="1"/>
  <c r="K8" i="8"/>
  <c r="M8" i="8" s="1"/>
  <c r="E6" i="11" s="1"/>
  <c r="J6" i="11" s="1"/>
  <c r="E187" i="4"/>
  <c r="D71" i="4"/>
  <c r="F209" i="4"/>
  <c r="E209" i="4"/>
  <c r="G6" i="8"/>
  <c r="E6" i="9"/>
  <c r="E4" i="9"/>
  <c r="E208" i="4"/>
  <c r="E211" i="4"/>
  <c r="F210" i="4"/>
  <c r="F211" i="4"/>
  <c r="E125" i="4"/>
  <c r="E176" i="4"/>
  <c r="E190" i="4"/>
  <c r="F176" i="4"/>
  <c r="D212" i="4"/>
  <c r="D197" i="4"/>
  <c r="D196" i="4"/>
  <c r="F154" i="4"/>
  <c r="F195" i="4" s="1"/>
  <c r="D195" i="4"/>
  <c r="D204" i="4"/>
  <c r="D203" i="4"/>
  <c r="D160" i="4"/>
  <c r="D198" i="4" s="1"/>
  <c r="D178" i="4"/>
  <c r="D189" i="4"/>
  <c r="D188" i="4"/>
  <c r="D186" i="4"/>
  <c r="D185" i="4"/>
  <c r="D183" i="4"/>
  <c r="D182" i="4"/>
  <c r="E148" i="4" s="1"/>
  <c r="E182" i="4" s="1"/>
  <c r="E184" i="4" s="1"/>
  <c r="D62" i="4"/>
  <c r="D61" i="4"/>
  <c r="D60" i="4"/>
  <c r="D59" i="4"/>
  <c r="D58" i="4"/>
  <c r="D141" i="4"/>
  <c r="F117" i="4" l="1"/>
  <c r="F120" i="4" s="1"/>
  <c r="D74" i="4"/>
  <c r="E221" i="4" s="1"/>
  <c r="F73" i="4"/>
  <c r="E73" i="4"/>
  <c r="E212" i="4"/>
  <c r="F141" i="4"/>
  <c r="F184" i="4"/>
  <c r="I184" i="4" s="1"/>
  <c r="I182" i="4"/>
  <c r="I84" i="4" s="1"/>
  <c r="D199" i="4"/>
  <c r="D201" i="4" s="1"/>
  <c r="D205" i="4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E192" i="4"/>
  <c r="E191" i="4"/>
  <c r="D176" i="4"/>
  <c r="D184" i="4"/>
  <c r="D190" i="4"/>
  <c r="D187" i="4"/>
  <c r="D63" i="4"/>
  <c r="D221" i="4" l="1"/>
  <c r="F151" i="4"/>
  <c r="F186" i="4" s="1"/>
  <c r="F187" i="4" s="1"/>
  <c r="G38" i="10"/>
  <c r="E177" i="4"/>
  <c r="J8" i="8"/>
  <c r="D191" i="4"/>
  <c r="D179" i="4" s="1"/>
  <c r="D192" i="4"/>
  <c r="J8" i="7" s="1"/>
  <c r="I187" i="4" l="1"/>
  <c r="K9" i="7"/>
  <c r="D214" i="4"/>
  <c r="D215" i="4"/>
  <c r="D216" i="4" s="1"/>
  <c r="M9" i="7" l="1"/>
  <c r="D7" i="11" s="1"/>
  <c r="I7" i="11" s="1"/>
  <c r="D34" i="11"/>
  <c r="I34" i="11" s="1"/>
  <c r="K10" i="7"/>
  <c r="M10" i="7" l="1"/>
  <c r="D8" i="11" s="1"/>
  <c r="I8" i="11" s="1"/>
  <c r="D35" i="11"/>
  <c r="I35" i="11" s="1"/>
  <c r="K11" i="7"/>
  <c r="M11" i="7" l="1"/>
  <c r="D9" i="11" s="1"/>
  <c r="I9" i="11" s="1"/>
  <c r="D36" i="11"/>
  <c r="I36" i="11" s="1"/>
  <c r="K12" i="7"/>
  <c r="M12" i="7" l="1"/>
  <c r="D10" i="11" s="1"/>
  <c r="I10" i="11" s="1"/>
  <c r="D37" i="11"/>
  <c r="I37" i="11" s="1"/>
  <c r="K13" i="7"/>
  <c r="M13" i="7" l="1"/>
  <c r="D11" i="11" s="1"/>
  <c r="I11" i="11" s="1"/>
  <c r="D38" i="11"/>
  <c r="I38" i="11" s="1"/>
  <c r="K14" i="7"/>
  <c r="M14" i="7" l="1"/>
  <c r="D12" i="11" s="1"/>
  <c r="I12" i="11" s="1"/>
  <c r="D39" i="11"/>
  <c r="I39" i="11" s="1"/>
  <c r="K15" i="7"/>
  <c r="M15" i="7" l="1"/>
  <c r="D13" i="11" s="1"/>
  <c r="I13" i="11" s="1"/>
  <c r="D40" i="11"/>
  <c r="I40" i="11" s="1"/>
  <c r="K16" i="7"/>
  <c r="M16" i="7" l="1"/>
  <c r="D14" i="11" s="1"/>
  <c r="I14" i="11" s="1"/>
  <c r="D41" i="11"/>
  <c r="I41" i="11"/>
  <c r="K17" i="7"/>
  <c r="M17" i="7" l="1"/>
  <c r="D15" i="11" s="1"/>
  <c r="D42" i="11"/>
  <c r="I42" i="11"/>
  <c r="I15" i="11"/>
  <c r="K18" i="7"/>
  <c r="M18" i="7" l="1"/>
  <c r="D16" i="11" s="1"/>
  <c r="I16" i="11" s="1"/>
  <c r="D43" i="11"/>
  <c r="I43" i="11"/>
  <c r="K19" i="7"/>
  <c r="M19" i="7" l="1"/>
  <c r="D17" i="11" s="1"/>
  <c r="D44" i="11"/>
  <c r="I44" i="11" s="1"/>
  <c r="I17" i="11"/>
  <c r="K20" i="7"/>
  <c r="M20" i="7" l="1"/>
  <c r="D18" i="11" s="1"/>
  <c r="I18" i="11" s="1"/>
  <c r="D45" i="11"/>
  <c r="I45" i="11"/>
  <c r="K21" i="7"/>
  <c r="M21" i="7" l="1"/>
  <c r="D19" i="11" s="1"/>
  <c r="I19" i="11" s="1"/>
  <c r="D46" i="11"/>
  <c r="I46" i="11" s="1"/>
  <c r="K22" i="7"/>
  <c r="M22" i="7" l="1"/>
  <c r="D20" i="11" s="1"/>
  <c r="D47" i="11"/>
  <c r="I47" i="11" s="1"/>
  <c r="I20" i="11"/>
  <c r="K23" i="7"/>
  <c r="M23" i="7" l="1"/>
  <c r="D21" i="11" s="1"/>
  <c r="I21" i="11" s="1"/>
  <c r="D48" i="11"/>
  <c r="I48" i="11" s="1"/>
  <c r="K24" i="7"/>
  <c r="M24" i="7" l="1"/>
  <c r="D22" i="11" s="1"/>
  <c r="I22" i="11" s="1"/>
  <c r="D49" i="11"/>
  <c r="I49" i="11" s="1"/>
  <c r="K25" i="7"/>
  <c r="M25" i="7" l="1"/>
  <c r="D23" i="11" s="1"/>
  <c r="I23" i="11" s="1"/>
  <c r="D50" i="11"/>
  <c r="I50" i="11"/>
  <c r="K26" i="7"/>
  <c r="M26" i="7" l="1"/>
  <c r="D24" i="11" s="1"/>
  <c r="I24" i="11" s="1"/>
  <c r="D51" i="11"/>
  <c r="I51" i="11" s="1"/>
  <c r="K28" i="7"/>
  <c r="K27" i="7"/>
  <c r="M27" i="7" l="1"/>
  <c r="D25" i="11" s="1"/>
  <c r="I25" i="11" s="1"/>
  <c r="D52" i="11"/>
  <c r="M28" i="7"/>
  <c r="D53" i="11"/>
  <c r="I52" i="11"/>
  <c r="D26" i="11"/>
  <c r="M29" i="7"/>
  <c r="G30" i="10" s="1"/>
  <c r="I53" i="11" l="1"/>
  <c r="I26" i="11"/>
  <c r="D13" i="3"/>
  <c r="D38" i="3"/>
  <c r="E13" i="3" l="1"/>
  <c r="F13" i="3" s="1"/>
  <c r="G13" i="3" s="1"/>
  <c r="H13" i="3" s="1"/>
  <c r="I13" i="3" s="1"/>
  <c r="J13" i="3" s="1"/>
  <c r="K13" i="3" s="1"/>
  <c r="L13" i="3" s="1"/>
  <c r="M13" i="3" s="1"/>
  <c r="D40" i="3"/>
  <c r="D27" i="3" l="1"/>
  <c r="D125" i="4" l="1"/>
  <c r="E33" i="3" l="1"/>
  <c r="F33" i="3"/>
  <c r="G33" i="3"/>
  <c r="H33" i="3"/>
  <c r="I33" i="3"/>
  <c r="D33" i="3"/>
  <c r="D25" i="3"/>
  <c r="D26" i="3" s="1"/>
  <c r="D22" i="3"/>
  <c r="E9" i="3"/>
  <c r="E17" i="6"/>
  <c r="F17" i="6"/>
  <c r="E11" i="3"/>
  <c r="E12" i="3" s="1"/>
  <c r="H9" i="3"/>
  <c r="G9" i="3"/>
  <c r="F9" i="3"/>
  <c r="M9" i="3"/>
  <c r="L9" i="3"/>
  <c r="K9" i="3"/>
  <c r="J9" i="3"/>
  <c r="I9" i="3"/>
  <c r="D11" i="3" l="1"/>
  <c r="D12" i="3" s="1"/>
  <c r="D8" i="3"/>
  <c r="F11" i="3"/>
  <c r="G11" i="3"/>
  <c r="H11" i="3"/>
  <c r="H12" i="3" s="1"/>
  <c r="I11" i="3"/>
  <c r="I12" i="3" s="1"/>
  <c r="J11" i="3"/>
  <c r="J12" i="3" s="1"/>
  <c r="K11" i="3"/>
  <c r="L11" i="3"/>
  <c r="M11" i="3"/>
  <c r="M8" i="3"/>
  <c r="L8" i="3"/>
  <c r="K8" i="3"/>
  <c r="J8" i="3"/>
  <c r="I8" i="3"/>
  <c r="H8" i="3"/>
  <c r="G8" i="3"/>
  <c r="F8" i="3"/>
  <c r="I2" i="3" l="1"/>
  <c r="J2" i="3"/>
  <c r="H2" i="3"/>
  <c r="L12" i="3"/>
  <c r="L2" i="3" s="1"/>
  <c r="K12" i="3"/>
  <c r="K2" i="3" s="1"/>
  <c r="G12" i="3"/>
  <c r="G2" i="3" s="1"/>
  <c r="F12" i="3"/>
  <c r="F2" i="3" s="1"/>
  <c r="M12" i="3"/>
  <c r="M2" i="3" s="1"/>
  <c r="E2" i="3"/>
  <c r="D11" i="6" l="1"/>
  <c r="E11" i="6"/>
  <c r="F11" i="6"/>
  <c r="D12" i="6"/>
  <c r="E12" i="6"/>
  <c r="F12" i="6"/>
  <c r="D13" i="6"/>
  <c r="E13" i="6"/>
  <c r="F13" i="6"/>
  <c r="F250" i="4" l="1"/>
  <c r="E244" i="4"/>
  <c r="D244" i="4"/>
  <c r="F244" i="4"/>
  <c r="E243" i="4"/>
  <c r="F243" i="4"/>
  <c r="E160" i="4"/>
  <c r="E198" i="4" s="1"/>
  <c r="E199" i="4" s="1"/>
  <c r="D177" i="4"/>
  <c r="D142" i="4"/>
  <c r="F142" i="4" l="1"/>
  <c r="D143" i="4"/>
  <c r="D144" i="4" s="1"/>
  <c r="F197" i="4"/>
  <c r="F220" i="4"/>
  <c r="F221" i="4" s="1"/>
  <c r="F196" i="4"/>
  <c r="F199" i="4" s="1"/>
  <c r="E201" i="4"/>
  <c r="E205" i="4" s="1"/>
  <c r="E214" i="4"/>
  <c r="E178" i="4"/>
  <c r="E248" i="4" s="1"/>
  <c r="E179" i="4"/>
  <c r="F178" i="4"/>
  <c r="D249" i="4"/>
  <c r="F153" i="4" l="1"/>
  <c r="F189" i="4" s="1"/>
  <c r="F190" i="4" s="1"/>
  <c r="F143" i="4"/>
  <c r="E215" i="4"/>
  <c r="E216" i="4" s="1"/>
  <c r="I8" i="8"/>
  <c r="I9" i="8" s="1"/>
  <c r="F208" i="4"/>
  <c r="F212" i="4" s="1"/>
  <c r="E8" i="9"/>
  <c r="K8" i="9" s="1"/>
  <c r="M8" i="9" s="1"/>
  <c r="F248" i="4"/>
  <c r="F201" i="4"/>
  <c r="F205" i="4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F125" i="4"/>
  <c r="D251" i="4"/>
  <c r="D253" i="4" s="1"/>
  <c r="E249" i="4"/>
  <c r="D252" i="4"/>
  <c r="F192" i="4" l="1"/>
  <c r="F215" i="4" s="1"/>
  <c r="F191" i="4"/>
  <c r="F6" i="11"/>
  <c r="K6" i="11" s="1"/>
  <c r="D39" i="3"/>
  <c r="D41" i="3" s="1"/>
  <c r="E217" i="4"/>
  <c r="I10" i="8"/>
  <c r="K9" i="8"/>
  <c r="D217" i="4"/>
  <c r="D261" i="4"/>
  <c r="C261" i="4"/>
  <c r="E261" i="4"/>
  <c r="F249" i="4"/>
  <c r="F251" i="4" s="1"/>
  <c r="F253" i="4" s="1"/>
  <c r="E251" i="4"/>
  <c r="E253" i="4" s="1"/>
  <c r="M9" i="8" l="1"/>
  <c r="E34" i="11"/>
  <c r="J34" i="11" s="1"/>
  <c r="I191" i="4"/>
  <c r="F179" i="4"/>
  <c r="F177" i="4"/>
  <c r="J8" i="9"/>
  <c r="I192" i="4"/>
  <c r="F214" i="4"/>
  <c r="E7" i="11"/>
  <c r="J7" i="11" s="1"/>
  <c r="I11" i="8"/>
  <c r="K10" i="8"/>
  <c r="F216" i="4"/>
  <c r="F217" i="4"/>
  <c r="E263" i="4"/>
  <c r="F262" i="4"/>
  <c r="E262" i="4"/>
  <c r="C262" i="4"/>
  <c r="C263" i="4"/>
  <c r="D262" i="4"/>
  <c r="D263" i="4"/>
  <c r="M10" i="8" l="1"/>
  <c r="E8" i="11" s="1"/>
  <c r="J8" i="11" s="1"/>
  <c r="E35" i="11"/>
  <c r="J35" i="11" s="1"/>
  <c r="K9" i="9"/>
  <c r="K10" i="9"/>
  <c r="I12" i="8"/>
  <c r="K11" i="8"/>
  <c r="E8" i="3"/>
  <c r="M10" i="9" l="1"/>
  <c r="F8" i="11" s="1"/>
  <c r="F35" i="11"/>
  <c r="M9" i="9"/>
  <c r="F7" i="11" s="1"/>
  <c r="K7" i="11" s="1"/>
  <c r="F34" i="11"/>
  <c r="K34" i="11" s="1"/>
  <c r="K35" i="11" s="1"/>
  <c r="M11" i="8"/>
  <c r="E9" i="11" s="1"/>
  <c r="J9" i="11" s="1"/>
  <c r="E36" i="11"/>
  <c r="J36" i="11" s="1"/>
  <c r="K11" i="9"/>
  <c r="I13" i="8"/>
  <c r="K12" i="8"/>
  <c r="K8" i="11" l="1"/>
  <c r="M11" i="9"/>
  <c r="F9" i="11" s="1"/>
  <c r="K9" i="11" s="1"/>
  <c r="F36" i="11"/>
  <c r="K36" i="11"/>
  <c r="M12" i="8"/>
  <c r="E10" i="11" s="1"/>
  <c r="J10" i="11" s="1"/>
  <c r="E37" i="11"/>
  <c r="J37" i="11" s="1"/>
  <c r="K12" i="9"/>
  <c r="I14" i="8"/>
  <c r="K13" i="8"/>
  <c r="M12" i="9" l="1"/>
  <c r="F10" i="11" s="1"/>
  <c r="K10" i="11" s="1"/>
  <c r="F37" i="11"/>
  <c r="K37" i="11" s="1"/>
  <c r="M13" i="8"/>
  <c r="E11" i="11" s="1"/>
  <c r="J11" i="11" s="1"/>
  <c r="E38" i="11"/>
  <c r="J38" i="11" s="1"/>
  <c r="K13" i="9"/>
  <c r="I15" i="8"/>
  <c r="K14" i="8"/>
  <c r="M13" i="9" l="1"/>
  <c r="F11" i="11" s="1"/>
  <c r="K11" i="11" s="1"/>
  <c r="F38" i="11"/>
  <c r="K38" i="11" s="1"/>
  <c r="M14" i="8"/>
  <c r="E12" i="11" s="1"/>
  <c r="J12" i="11" s="1"/>
  <c r="E39" i="11"/>
  <c r="J39" i="11" s="1"/>
  <c r="K14" i="9"/>
  <c r="I16" i="8"/>
  <c r="K15" i="8"/>
  <c r="M14" i="9" l="1"/>
  <c r="F12" i="11" s="1"/>
  <c r="K12" i="11" s="1"/>
  <c r="F39" i="11"/>
  <c r="K39" i="11" s="1"/>
  <c r="M15" i="8"/>
  <c r="E13" i="11" s="1"/>
  <c r="J13" i="11" s="1"/>
  <c r="E40" i="11"/>
  <c r="J40" i="11" s="1"/>
  <c r="K15" i="9"/>
  <c r="I17" i="8"/>
  <c r="K16" i="8"/>
  <c r="M15" i="9" l="1"/>
  <c r="F13" i="11" s="1"/>
  <c r="F40" i="11"/>
  <c r="K40" i="11"/>
  <c r="M16" i="8"/>
  <c r="E14" i="11" s="1"/>
  <c r="E41" i="11"/>
  <c r="J41" i="11" s="1"/>
  <c r="K16" i="9"/>
  <c r="K13" i="11"/>
  <c r="J14" i="11"/>
  <c r="I18" i="8"/>
  <c r="K17" i="8"/>
  <c r="M16" i="9" l="1"/>
  <c r="F14" i="11" s="1"/>
  <c r="K14" i="11" s="1"/>
  <c r="F41" i="11"/>
  <c r="K41" i="11"/>
  <c r="M17" i="8"/>
  <c r="E15" i="11" s="1"/>
  <c r="E42" i="11"/>
  <c r="J42" i="11" s="1"/>
  <c r="K17" i="9"/>
  <c r="J15" i="11"/>
  <c r="I19" i="8"/>
  <c r="K18" i="8"/>
  <c r="M17" i="9" l="1"/>
  <c r="F15" i="11" s="1"/>
  <c r="F42" i="11"/>
  <c r="K42" i="11" s="1"/>
  <c r="M18" i="8"/>
  <c r="E16" i="11" s="1"/>
  <c r="J16" i="11" s="1"/>
  <c r="E43" i="11"/>
  <c r="J43" i="11" s="1"/>
  <c r="K15" i="11"/>
  <c r="K18" i="9"/>
  <c r="I20" i="8"/>
  <c r="K19" i="8"/>
  <c r="M18" i="9" l="1"/>
  <c r="F16" i="11" s="1"/>
  <c r="K16" i="11" s="1"/>
  <c r="F43" i="11"/>
  <c r="K43" i="11" s="1"/>
  <c r="M19" i="8"/>
  <c r="E17" i="11" s="1"/>
  <c r="J17" i="11" s="1"/>
  <c r="E44" i="11"/>
  <c r="J44" i="11" s="1"/>
  <c r="K19" i="9"/>
  <c r="I21" i="8"/>
  <c r="K20" i="8"/>
  <c r="M19" i="9" l="1"/>
  <c r="F17" i="11" s="1"/>
  <c r="K17" i="11" s="1"/>
  <c r="F44" i="11"/>
  <c r="K44" i="11" s="1"/>
  <c r="M20" i="8"/>
  <c r="E18" i="11" s="1"/>
  <c r="E45" i="11"/>
  <c r="J45" i="11" s="1"/>
  <c r="K20" i="9"/>
  <c r="J18" i="11"/>
  <c r="I22" i="8"/>
  <c r="K21" i="8"/>
  <c r="M20" i="9" l="1"/>
  <c r="F18" i="11" s="1"/>
  <c r="K18" i="11" s="1"/>
  <c r="F45" i="11"/>
  <c r="K45" i="11"/>
  <c r="M21" i="8"/>
  <c r="E19" i="11" s="1"/>
  <c r="E46" i="11"/>
  <c r="J46" i="11" s="1"/>
  <c r="K21" i="9"/>
  <c r="J19" i="11"/>
  <c r="I23" i="8"/>
  <c r="K22" i="8"/>
  <c r="M21" i="9" l="1"/>
  <c r="F19" i="11" s="1"/>
  <c r="K19" i="11" s="1"/>
  <c r="F46" i="11"/>
  <c r="K46" i="11" s="1"/>
  <c r="M22" i="8"/>
  <c r="E20" i="11" s="1"/>
  <c r="J20" i="11" s="1"/>
  <c r="E47" i="11"/>
  <c r="J47" i="11" s="1"/>
  <c r="K22" i="9"/>
  <c r="I24" i="8"/>
  <c r="K23" i="8"/>
  <c r="M22" i="9" l="1"/>
  <c r="F20" i="11" s="1"/>
  <c r="K20" i="11" s="1"/>
  <c r="F47" i="11"/>
  <c r="K47" i="11" s="1"/>
  <c r="M23" i="8"/>
  <c r="E21" i="11" s="1"/>
  <c r="J21" i="11" s="1"/>
  <c r="E48" i="11"/>
  <c r="J48" i="11" s="1"/>
  <c r="K23" i="9"/>
  <c r="I25" i="8"/>
  <c r="K24" i="8"/>
  <c r="M23" i="9" l="1"/>
  <c r="F21" i="11" s="1"/>
  <c r="F48" i="11"/>
  <c r="K48" i="11" s="1"/>
  <c r="M24" i="8"/>
  <c r="E22" i="11" s="1"/>
  <c r="J22" i="11" s="1"/>
  <c r="E49" i="11"/>
  <c r="J49" i="11" s="1"/>
  <c r="K21" i="11"/>
  <c r="K24" i="9"/>
  <c r="I26" i="8"/>
  <c r="K25" i="8"/>
  <c r="M24" i="9" l="1"/>
  <c r="F22" i="11" s="1"/>
  <c r="K22" i="11" s="1"/>
  <c r="F49" i="11"/>
  <c r="K49" i="11" s="1"/>
  <c r="M25" i="8"/>
  <c r="E23" i="11" s="1"/>
  <c r="J23" i="11" s="1"/>
  <c r="E50" i="11"/>
  <c r="J50" i="11" s="1"/>
  <c r="K25" i="9"/>
  <c r="I27" i="8"/>
  <c r="K26" i="8"/>
  <c r="M25" i="9" l="1"/>
  <c r="F23" i="11" s="1"/>
  <c r="K23" i="11" s="1"/>
  <c r="F50" i="11"/>
  <c r="K50" i="11"/>
  <c r="M26" i="8"/>
  <c r="E24" i="11" s="1"/>
  <c r="J24" i="11" s="1"/>
  <c r="E51" i="11"/>
  <c r="J51" i="11" s="1"/>
  <c r="K26" i="9"/>
  <c r="I28" i="8"/>
  <c r="K28" i="8" s="1"/>
  <c r="K27" i="8"/>
  <c r="M26" i="9" l="1"/>
  <c r="F24" i="11" s="1"/>
  <c r="K24" i="11" s="1"/>
  <c r="F51" i="11"/>
  <c r="K51" i="11" s="1"/>
  <c r="M27" i="8"/>
  <c r="E25" i="11" s="1"/>
  <c r="J25" i="11" s="1"/>
  <c r="E52" i="11"/>
  <c r="J52" i="11" s="1"/>
  <c r="M28" i="8"/>
  <c r="E26" i="11" s="1"/>
  <c r="E53" i="11"/>
  <c r="K28" i="9"/>
  <c r="K27" i="9"/>
  <c r="J26" i="11" l="1"/>
  <c r="M27" i="9"/>
  <c r="F25" i="11" s="1"/>
  <c r="K25" i="11" s="1"/>
  <c r="F52" i="11"/>
  <c r="K52" i="11" s="1"/>
  <c r="M28" i="9"/>
  <c r="F26" i="11" s="1"/>
  <c r="F53" i="11"/>
  <c r="J53" i="11"/>
  <c r="M29" i="8"/>
  <c r="G14" i="10" s="1"/>
  <c r="M29" i="9"/>
  <c r="K53" i="11" l="1"/>
  <c r="K26" i="11"/>
  <c r="G31" i="10"/>
  <c r="G15" i="10"/>
  <c r="G18" i="10" s="1"/>
  <c r="I4" i="4" l="1"/>
  <c r="G21" i="10"/>
  <c r="G23" i="10" s="1"/>
  <c r="G34" i="10"/>
  <c r="G37" i="10"/>
  <c r="G39" i="10" s="1"/>
</calcChain>
</file>

<file path=xl/sharedStrings.xml><?xml version="1.0" encoding="utf-8"?>
<sst xmlns="http://schemas.openxmlformats.org/spreadsheetml/2006/main" count="765" uniqueCount="392">
  <si>
    <t>Variables analizadas</t>
  </si>
  <si>
    <t>producción de leche</t>
  </si>
  <si>
    <t>ingresos</t>
  </si>
  <si>
    <t>egresos</t>
  </si>
  <si>
    <t>Cantidad</t>
  </si>
  <si>
    <t>Carga animal</t>
  </si>
  <si>
    <t>margen bruto</t>
  </si>
  <si>
    <t>Duración lactancia</t>
  </si>
  <si>
    <t>Maquinaria y equipo</t>
  </si>
  <si>
    <t>Variable</t>
  </si>
  <si>
    <t>% ha de sup cultivada con L/pasto T</t>
  </si>
  <si>
    <t>% ha de superficie con pastizal natural</t>
  </si>
  <si>
    <t>% mano de obra directa</t>
  </si>
  <si>
    <t>% mano de obra idirecta</t>
  </si>
  <si>
    <t>Número de vacas total</t>
  </si>
  <si>
    <t>% vacas en producción/vacas totales</t>
  </si>
  <si>
    <t>% vacas secas/vacas totales</t>
  </si>
  <si>
    <t>No de novillos</t>
  </si>
  <si>
    <t>No de becerros</t>
  </si>
  <si>
    <t>No de novillas</t>
  </si>
  <si>
    <t>% UA vaca en producción/UA</t>
  </si>
  <si>
    <t>% UA vaca secas/UA</t>
  </si>
  <si>
    <t>% UA vaquilla/UA</t>
  </si>
  <si>
    <t>% UA novillo/UA</t>
  </si>
  <si>
    <t>% UA becerro/UA</t>
  </si>
  <si>
    <t>Unidades animal totales (UA)</t>
  </si>
  <si>
    <t>Cabezas</t>
  </si>
  <si>
    <t>UA</t>
  </si>
  <si>
    <t>Cabezas/UA</t>
  </si>
  <si>
    <t>consumo de materia seca estimado</t>
  </si>
  <si>
    <t>producción promedio de leche</t>
  </si>
  <si>
    <t>peso de las vacas en producción</t>
  </si>
  <si>
    <t>kg</t>
  </si>
  <si>
    <t>peso de las vacas secas gestantes</t>
  </si>
  <si>
    <t xml:space="preserve">peso de los novillos </t>
  </si>
  <si>
    <t xml:space="preserve">peso de las novillas </t>
  </si>
  <si>
    <t xml:space="preserve">peso de los becerros </t>
  </si>
  <si>
    <t>Utilidad (MN)</t>
  </si>
  <si>
    <t>$/año</t>
  </si>
  <si>
    <t>Utilidad por vaca</t>
  </si>
  <si>
    <t>Utilidad por ha</t>
  </si>
  <si>
    <t>Utilidad diaria</t>
  </si>
  <si>
    <t>BAJA DISPONIBILIDAD DE AGUA</t>
  </si>
  <si>
    <t>Aumento por sequiía</t>
  </si>
  <si>
    <t>del costo total</t>
  </si>
  <si>
    <t>Pérdidas por sequia</t>
  </si>
  <si>
    <t>del MB total</t>
  </si>
  <si>
    <t>del MN total</t>
  </si>
  <si>
    <t>Superficie de riego</t>
  </si>
  <si>
    <t>ha</t>
  </si>
  <si>
    <t>Pastizal natural</t>
  </si>
  <si>
    <t>Construcciones e instalaciones</t>
  </si>
  <si>
    <t>Valor de las tierras</t>
  </si>
  <si>
    <t>Pesos</t>
  </si>
  <si>
    <t>Pie de cría</t>
  </si>
  <si>
    <t>Plantación y mtto del SSPi</t>
  </si>
  <si>
    <t>Total</t>
  </si>
  <si>
    <t>Costo de producción leche</t>
  </si>
  <si>
    <t>$/kg leche</t>
  </si>
  <si>
    <t>Costo de producción carne</t>
  </si>
  <si>
    <t>$/kg carne</t>
  </si>
  <si>
    <t>Utilidad producción de leche</t>
  </si>
  <si>
    <t>Utilidad producción de carne</t>
  </si>
  <si>
    <t>Producción de leche</t>
  </si>
  <si>
    <t>L/año</t>
  </si>
  <si>
    <t>Producción de carne</t>
  </si>
  <si>
    <t>kg carne/año</t>
  </si>
  <si>
    <t>Producción de carne de novillos</t>
  </si>
  <si>
    <t>Producción de carne de vacas desechadas</t>
  </si>
  <si>
    <t>VENTAS</t>
  </si>
  <si>
    <t>Producción de leche total</t>
  </si>
  <si>
    <t>Precio de la leche</t>
  </si>
  <si>
    <t>Venta total de leche</t>
  </si>
  <si>
    <t>Novillos en venta</t>
  </si>
  <si>
    <t>Precio de novillos</t>
  </si>
  <si>
    <t>$/cabeza</t>
  </si>
  <si>
    <t>Venta total de novillos</t>
  </si>
  <si>
    <t>Vacas de desecho</t>
  </si>
  <si>
    <t>Precio de las vacas</t>
  </si>
  <si>
    <t>Venta total de vacas de desecho</t>
  </si>
  <si>
    <t>Ingresos totales</t>
  </si>
  <si>
    <t>Costos de alimentación</t>
  </si>
  <si>
    <t>Sorgo</t>
  </si>
  <si>
    <t>Precio de compra</t>
  </si>
  <si>
    <t>Riegos</t>
  </si>
  <si>
    <t>Costo por bombeo</t>
  </si>
  <si>
    <t>Costo total de bombeo</t>
  </si>
  <si>
    <t>Uso de agua</t>
  </si>
  <si>
    <t>Costo del agua</t>
  </si>
  <si>
    <t>Costo total de agua</t>
  </si>
  <si>
    <t>Area del SSPi</t>
  </si>
  <si>
    <t>Costo de establecer el SSPi</t>
  </si>
  <si>
    <t>Costo de establecimiento del SSPi</t>
  </si>
  <si>
    <t>Mano de obra</t>
  </si>
  <si>
    <t>Precio de la mano de obra</t>
  </si>
  <si>
    <t>Total de mano de obra</t>
  </si>
  <si>
    <t>Mantenimiento</t>
  </si>
  <si>
    <t>Comercialización de leche y animales</t>
  </si>
  <si>
    <t>Margen bruto</t>
  </si>
  <si>
    <t>Margen neto</t>
  </si>
  <si>
    <t>Margen neto / ha</t>
  </si>
  <si>
    <t>Margen neto / vaca en prod</t>
  </si>
  <si>
    <t>p7</t>
  </si>
  <si>
    <t>CABEZAS</t>
  </si>
  <si>
    <t>vacas en producción</t>
  </si>
  <si>
    <t>vacas secas</t>
  </si>
  <si>
    <t>Animales totales</t>
  </si>
  <si>
    <t>años</t>
  </si>
  <si>
    <t xml:space="preserve">años </t>
  </si>
  <si>
    <t>días</t>
  </si>
  <si>
    <t>kg/vaca-dia</t>
  </si>
  <si>
    <t>producción de leche linea base</t>
  </si>
  <si>
    <t>pesos/año</t>
  </si>
  <si>
    <t>UA/ha</t>
  </si>
  <si>
    <t>vacas raza Gyr</t>
  </si>
  <si>
    <t>Carga animal SSPi</t>
  </si>
  <si>
    <t>Carga animal sistema convencional</t>
  </si>
  <si>
    <t>Peso de 1 UA</t>
  </si>
  <si>
    <t>Unidades animal</t>
  </si>
  <si>
    <t>Superficie total</t>
  </si>
  <si>
    <t>cabezas</t>
  </si>
  <si>
    <t>$/vaca año</t>
  </si>
  <si>
    <t>$/ha año</t>
  </si>
  <si>
    <t>$/día año</t>
  </si>
  <si>
    <t>%</t>
  </si>
  <si>
    <t xml:space="preserve">Mano de obra total (MOT) </t>
  </si>
  <si>
    <t>% carne de novillos</t>
  </si>
  <si>
    <t>% carne de vacas de desecho</t>
  </si>
  <si>
    <t>SSPi - sequía</t>
  </si>
  <si>
    <t>$/ha</t>
  </si>
  <si>
    <t>t</t>
  </si>
  <si>
    <t>$/t</t>
  </si>
  <si>
    <t xml:space="preserve">Ingresos = venta de leche + venta de animales en pie. </t>
  </si>
  <si>
    <t xml:space="preserve">MN vaca-1 = MN/número de vacas en producción. </t>
  </si>
  <si>
    <t>MN hectárea-1 = MN/ha de superficie. x</t>
  </si>
  <si>
    <t>MN día-1 = MN/365.</t>
  </si>
  <si>
    <t>Precio promedio de la carne</t>
  </si>
  <si>
    <t>Número de animales para carne</t>
  </si>
  <si>
    <t xml:space="preserve">Costos de alimentación = sorgo + siembra del SSPi + riego y uso del agua. </t>
  </si>
  <si>
    <t xml:space="preserve">Egresos = costos de alimentación + amortización de instalaciones, maquinaria y equipo+ amortización de vacas + mano de obra + comercialización. </t>
  </si>
  <si>
    <t>MB = ingresos-costos de alimentación.</t>
  </si>
  <si>
    <t xml:space="preserve">MN = ingresos-egresos. </t>
  </si>
  <si>
    <t>DEFINICIÓN DE CONCEPTOS</t>
  </si>
  <si>
    <t>Gastos de inversión</t>
  </si>
  <si>
    <t>SSPi - Normal</t>
  </si>
  <si>
    <t>Emisiones evitadas por ha</t>
  </si>
  <si>
    <t>Costo marginal de mitigación</t>
  </si>
  <si>
    <t>Potencial de mitigación</t>
  </si>
  <si>
    <r>
      <t>Absorción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con pastoreo racional</t>
    </r>
  </si>
  <si>
    <t>Superficie con sobrepastoreo</t>
  </si>
  <si>
    <t>Superficie con deterioro</t>
  </si>
  <si>
    <t>Porcentaje de la superficie estatal</t>
  </si>
  <si>
    <t>Potencial de agostadero</t>
  </si>
  <si>
    <t>Superfice del estado</t>
  </si>
  <si>
    <t>Valor</t>
  </si>
  <si>
    <t>Unidades</t>
  </si>
  <si>
    <t>Parámetro</t>
  </si>
  <si>
    <t>jornales por año</t>
  </si>
  <si>
    <t>Aumento del costo por alimentación</t>
  </si>
  <si>
    <t>Datos CIPAV Colombia</t>
  </si>
  <si>
    <t>Superficie requerida</t>
  </si>
  <si>
    <t>Convencional</t>
  </si>
  <si>
    <t>Mejorado sin árboles</t>
  </si>
  <si>
    <t>SSPi</t>
  </si>
  <si>
    <t>Producción específica</t>
  </si>
  <si>
    <t>t/ha</t>
  </si>
  <si>
    <t>Superficie para producción</t>
  </si>
  <si>
    <t>ha/t</t>
  </si>
  <si>
    <t>Rendimiento</t>
  </si>
  <si>
    <t>en canal/en pie</t>
  </si>
  <si>
    <t>Población Ganadera Oficial (Número de cabezas)</t>
  </si>
  <si>
    <t>Bovinos Carne    [1] [2]</t>
  </si>
  <si>
    <t>Bovinos Leche   [1] [3]</t>
  </si>
  <si>
    <t>Hay que considerar que también se produce leche en este rancho, y en el de CIPAV sólo se produce carne</t>
  </si>
  <si>
    <t>Año 2017</t>
  </si>
  <si>
    <t>Unidades Animal</t>
  </si>
  <si>
    <t>Superficie si estas UA se ponen en SSPi</t>
  </si>
  <si>
    <t>Superficie si estas UA se ponen en pastoreo convencional</t>
  </si>
  <si>
    <r>
      <t>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e/año</t>
    </r>
  </si>
  <si>
    <r>
      <t>USD@VP/tCO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</si>
  <si>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e/ha año</t>
    </r>
  </si>
  <si>
    <r>
      <t>Balance neto de GEI (tCO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e/ha)</t>
    </r>
  </si>
  <si>
    <t>Porcentaje de adopción</t>
  </si>
  <si>
    <t>Porcentaje logrado del potencial máximo</t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</si>
  <si>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e/ha</t>
    </r>
  </si>
  <si>
    <t>Balance neto de GEI</t>
  </si>
  <si>
    <r>
      <t>Balance neto de GEI (GgCO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e/ha)</t>
    </r>
  </si>
  <si>
    <t>Ver 'Cuadro 31'!D10:F10</t>
  </si>
  <si>
    <t>Esta superficie podría relacionarse con los tres tipos de agostadero</t>
  </si>
  <si>
    <t>Coeficiente de agostadero</t>
  </si>
  <si>
    <t>Fuente</t>
  </si>
  <si>
    <t>Caraza Stoumen, L. Experiencias exitosas: una alternativa económica y de conservación, p. 316. En Halffter, G., M. Cruz y C. Huerta (Comps.). 2018. Ganadería sustentable en el Golfo de México. Instituto de Ecología, A.C., México, 432 pp.</t>
  </si>
  <si>
    <t>INEGI</t>
  </si>
  <si>
    <t>programa sectorial 2010-2016 por la Secretaría de Desarrollo Rural del Gobierno del estado de Chihuahua (p. 113)</t>
  </si>
  <si>
    <t>idem</t>
  </si>
  <si>
    <t>Sierra</t>
  </si>
  <si>
    <t>Llanura</t>
  </si>
  <si>
    <t>Desierto</t>
  </si>
  <si>
    <t>ha/UA</t>
  </si>
  <si>
    <t>Mínimo</t>
  </si>
  <si>
    <t>Máximo</t>
  </si>
  <si>
    <t>Superficie</t>
  </si>
  <si>
    <t>Potencial de UA</t>
  </si>
  <si>
    <t>Regiones ganaderas de Chihuahua</t>
  </si>
  <si>
    <r>
      <rPr>
        <sz val="10"/>
        <color theme="1"/>
        <rFont val="Wingdings"/>
        <charset val="2"/>
      </rPr>
      <t>ï</t>
    </r>
    <r>
      <rPr>
        <sz val="10"/>
        <color theme="1"/>
        <rFont val="Calibri"/>
        <family val="2"/>
      </rPr>
      <t xml:space="preserve">  Cada rancho posee características únicas, el balance neto de GEI de cada rancho que adopte el SSPi puede variar desde -2 tCO2e/ha hasta -10 tCO2e/ha</t>
    </r>
  </si>
  <si>
    <t>Análisis del artículo Estrada López, I.; Esparza Jiménez, S.; Albarrán Portillo, B.; Yong Angel, G.; Rayas Amor, A. A.; García Martínez, A. (2018). Evaluación productiva y económica de un sistema silvopastoril intensivo en bovinos doble propósito en Michoacán, México. CIENCIA ergo-sum, 25(3). https://doi.org/10.30878/ces.v25n3a7</t>
  </si>
  <si>
    <t>Apatzingán, Michoacán, México,</t>
  </si>
  <si>
    <t>CUADRO 1 - Características estructurales y técnicas de la UP</t>
  </si>
  <si>
    <t xml:space="preserve"> vacas en producción</t>
  </si>
  <si>
    <t xml:space="preserve"> vacas secas</t>
  </si>
  <si>
    <t xml:space="preserve"> vaquillas</t>
  </si>
  <si>
    <t xml:space="preserve"> novillos</t>
  </si>
  <si>
    <t xml:space="preserve"> becerros</t>
  </si>
  <si>
    <r>
      <t xml:space="preserve">            </t>
    </r>
    <r>
      <rPr>
        <sz val="10"/>
        <color theme="1"/>
        <rFont val="Wingdings"/>
        <charset val="2"/>
      </rPr>
      <t xml:space="preserve"> ò  </t>
    </r>
    <r>
      <rPr>
        <sz val="10"/>
        <color theme="1"/>
        <rFont val="Calibri"/>
        <family val="2"/>
        <scheme val="minor"/>
      </rPr>
      <t>No todos los ganaderos adoptarán el nuevo sistema (SSPi), por lo que se consideran tres escenarios: 20%, 50% 90%</t>
    </r>
  </si>
  <si>
    <t>CUADRO 3 - Inversión fija de la UP bajo manejo de SSPi en Apatzingán, Michoacán</t>
  </si>
  <si>
    <t>Primer párrafo de la página e29|9</t>
  </si>
  <si>
    <t>Valor Presente SSPi Neto UP Apatzingan, Michoacan</t>
  </si>
  <si>
    <t>MXP@VP</t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</si>
  <si>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</si>
  <si>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Emisiones evitadas por año</t>
  </si>
  <si>
    <t>Tipo de cambio</t>
  </si>
  <si>
    <t>MXP/USD</t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</si>
  <si>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e/año</t>
    </r>
  </si>
  <si>
    <t>Vida del proyecto</t>
  </si>
  <si>
    <t>Balance neto de GEI en SSPi</t>
  </si>
  <si>
    <t>Superficie de pastoreo</t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</si>
  <si>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e/año/ha</t>
    </r>
  </si>
  <si>
    <t>https://mx.investing.com/currencies/usd-mxn-historical-data</t>
  </si>
  <si>
    <t>Promedio de 1/1/2020 - 23/10/2020</t>
  </si>
  <si>
    <t>Tasa de descuento</t>
  </si>
  <si>
    <t>del 2020 al 2030 con 4 meses de implementación inicial</t>
  </si>
  <si>
    <t>C:\Users\Luisa\Desktop\AKR\PECC Copy\00 Comentarios 20200623\01 Potencial de mitigacion\Ganadería\Copy of WALGA-MACC-Tool-V1-3 Con Ganado.xlsx</t>
  </si>
  <si>
    <t>Potencial de abatimiento</t>
  </si>
  <si>
    <t>1 / tc</t>
  </si>
  <si>
    <t>3 / tc</t>
  </si>
  <si>
    <t>2 / tc</t>
  </si>
  <si>
    <t>Evaluacion economica SSPi Michoacan.pdf</t>
  </si>
  <si>
    <t>Estrada L, I. y otros. (2018). Evaluación productiva y económica de un sistema silvopastoril intensivo en bovinos doble propósito en Michoacán, México. CIENCIA ergo-sum, 25(3).</t>
  </si>
  <si>
    <t>carga animal praderas monocultivo Chiapas y Veracruz</t>
  </si>
  <si>
    <t>carga animal este proyecto</t>
  </si>
  <si>
    <t>último párrafo de la página e29 | 6</t>
  </si>
  <si>
    <t>producción promedio de leche bajo manejo tradicional</t>
  </si>
  <si>
    <t>Sección 2.3. Producción de leche</t>
  </si>
  <si>
    <t>Sección 2.4. Peso vivo y condición corporal</t>
  </si>
  <si>
    <t>Sección 2.6. Análisis económico - primer párrafo</t>
  </si>
  <si>
    <t>Resumen</t>
  </si>
  <si>
    <t>Introucción - información general</t>
  </si>
  <si>
    <t>Sección 1.1. Manejo de los animales y potreros</t>
  </si>
  <si>
    <t>Sección 1.7. Evaluación económica</t>
  </si>
  <si>
    <t>Amortización de Maquinaria y equipo (M&amp;E)</t>
  </si>
  <si>
    <t>Amortización de la tierra y construcciones e instalaciones (C&amp;I)</t>
  </si>
  <si>
    <t>Costo de la tierra y C&amp;I asignado a un año productivo</t>
  </si>
  <si>
    <t>Costo de M&amp;E asignado a un año productivo</t>
  </si>
  <si>
    <t>Amortización de vacas y siembra (V&amp;S)</t>
  </si>
  <si>
    <t>Costo de V&amp;S asignado a un año productivo</t>
  </si>
  <si>
    <t>CUADRO 4 - Análisis económico de la UP de BDP bajo el manejo en SSPi</t>
  </si>
  <si>
    <t>Novillos</t>
  </si>
  <si>
    <t>Precio de los novillos</t>
  </si>
  <si>
    <t>Venta total de carne</t>
  </si>
  <si>
    <t>Total Sorgo</t>
  </si>
  <si>
    <t xml:space="preserve">    </t>
  </si>
  <si>
    <t>Costo total de alimentación</t>
  </si>
  <si>
    <t>Costo total de operación y mantenimiento</t>
  </si>
  <si>
    <t>MXP/año</t>
  </si>
  <si>
    <t>MXP</t>
  </si>
  <si>
    <t>Terreno</t>
  </si>
  <si>
    <t>Unidad animal</t>
  </si>
  <si>
    <t>kg/UA</t>
  </si>
  <si>
    <t>novillas</t>
  </si>
  <si>
    <t>novillos</t>
  </si>
  <si>
    <t>becerros</t>
  </si>
  <si>
    <t>Factor de costo del terreno</t>
  </si>
  <si>
    <t>El factor de costo del terreno se considera 1 si el terreno se tiene que comprar, 0 si el terreno es propio y ya se ha amortizado</t>
  </si>
  <si>
    <t>Operación y mantenimiento</t>
  </si>
  <si>
    <t>Año</t>
  </si>
  <si>
    <t>Período de amortización</t>
  </si>
  <si>
    <t>Flujo de efectivo descontado</t>
  </si>
  <si>
    <t>Factor de descuento</t>
  </si>
  <si>
    <t>Flujo de efectivo</t>
  </si>
  <si>
    <t>Valor presente neto</t>
  </si>
  <si>
    <t>Costo de Abatimiento por Generación Distribuida</t>
  </si>
  <si>
    <t>USD</t>
  </si>
  <si>
    <t>Datos comunes</t>
  </si>
  <si>
    <t>VPN</t>
  </si>
  <si>
    <t>VPN del SSPi</t>
  </si>
  <si>
    <r>
      <t>C</t>
    </r>
    <r>
      <rPr>
        <i/>
        <vertAlign val="subscript"/>
        <sz val="11"/>
        <color theme="1"/>
        <rFont val="Times New Roman"/>
        <family val="1"/>
      </rPr>
      <t>PS</t>
    </r>
  </si>
  <si>
    <t>VPN del PC</t>
  </si>
  <si>
    <t>PC</t>
  </si>
  <si>
    <r>
      <t>C</t>
    </r>
    <r>
      <rPr>
        <i/>
        <vertAlign val="subscript"/>
        <sz val="11"/>
        <color theme="1"/>
        <rFont val="Times New Roman"/>
        <family val="1"/>
      </rPr>
      <t>BS</t>
    </r>
  </si>
  <si>
    <t>Emisiones del SSPi</t>
  </si>
  <si>
    <r>
      <t>E</t>
    </r>
    <r>
      <rPr>
        <i/>
        <vertAlign val="subscript"/>
        <sz val="11"/>
        <color theme="1"/>
        <rFont val="Times New Roman"/>
        <family val="1"/>
      </rPr>
      <t>PS</t>
    </r>
  </si>
  <si>
    <t>Emisiones del PC</t>
  </si>
  <si>
    <r>
      <t>E</t>
    </r>
    <r>
      <rPr>
        <i/>
        <vertAlign val="subscript"/>
        <sz val="11"/>
        <color theme="1"/>
        <rFont val="Times New Roman"/>
        <family val="1"/>
      </rPr>
      <t>BS</t>
    </r>
  </si>
  <si>
    <t>Marginal abatement cost</t>
  </si>
  <si>
    <t>SPV @ LTB</t>
  </si>
  <si>
    <t xml:space="preserve">MAC </t>
  </si>
  <si>
    <r>
      <t>USD/tCO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</si>
  <si>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SSPi - Sistema silvopastoril intensivo</t>
  </si>
  <si>
    <t>PC - Pastoreo convencional</t>
  </si>
  <si>
    <t>https://doi.org/10.1016/j.egyr.2019.11.153</t>
  </si>
  <si>
    <t>The 6th International Conference on Power and Energy Systems Engineering (CPESE 2019), September 20–23, 2019, Okinawa, Japan</t>
  </si>
  <si>
    <t>Marginal abatement cost of electricity generation from renewable energy in Thailand</t>
  </si>
  <si>
    <t>Phitsinee Muangjaia, Wongkot Wongsapaib,∗, Rongphet Bunchuaideec, Neeracha Tridechc, Det Damrongsakb, Chaichan Ritkrerkkraid</t>
  </si>
  <si>
    <t>Análisis a VPN SSPi sequía</t>
  </si>
  <si>
    <t>Análisis a VPN SSPi normal</t>
  </si>
  <si>
    <t>Análisis a VPN Convencional - Línea base</t>
  </si>
  <si>
    <t>Tecnología de mitigación:</t>
  </si>
  <si>
    <t>Tecnología de referencia:</t>
  </si>
  <si>
    <t>Negativo porque el "Costo" es en realidad utilidad</t>
  </si>
  <si>
    <t>Idem</t>
  </si>
  <si>
    <t>tipo de cambio</t>
  </si>
  <si>
    <t>kg/vaca dia</t>
  </si>
  <si>
    <t>kg de leche / vaca día</t>
  </si>
  <si>
    <t>kg de MS / vaca día</t>
  </si>
  <si>
    <t>UA / ha</t>
  </si>
  <si>
    <t xml:space="preserve">CMM = </t>
  </si>
  <si>
    <t>Convencional -
Línea base</t>
  </si>
  <si>
    <t>Factor de mejora de producción</t>
  </si>
  <si>
    <t>PRECIO DE LA CARNE</t>
  </si>
  <si>
    <t xml:space="preserve">   </t>
  </si>
  <si>
    <t>kg/vaca día</t>
  </si>
  <si>
    <t>SSPi con sequía</t>
  </si>
  <si>
    <t>SSPi Normal</t>
  </si>
  <si>
    <t>PC - Línea Base</t>
  </si>
  <si>
    <t>Acumulado</t>
  </si>
  <si>
    <t>Costo marginal de abatimiento - Escenario con sequía</t>
  </si>
  <si>
    <t>Costo marginal de abatimiento - Escenario normal</t>
  </si>
  <si>
    <t>Factor</t>
  </si>
  <si>
    <t>$/tCO2e</t>
  </si>
  <si>
    <t>Cabezas/ha</t>
  </si>
  <si>
    <t>Promedio ponderado de Cabezas/UA</t>
  </si>
  <si>
    <t>Producción de carne total</t>
  </si>
  <si>
    <t>Producción específica de carne</t>
  </si>
  <si>
    <t>kg/ha año</t>
  </si>
  <si>
    <t>Área requerida</t>
  </si>
  <si>
    <t>PCSA</t>
  </si>
  <si>
    <t>Unidades animal para coeficiente de agostadero</t>
  </si>
  <si>
    <r>
      <t>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e/año</t>
    </r>
  </si>
  <si>
    <t>Balance GEl (Check)</t>
  </si>
  <si>
    <r>
      <t>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e/ha año</t>
    </r>
  </si>
  <si>
    <t>Factor de absorción</t>
  </si>
  <si>
    <r>
      <t>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e/UA</t>
    </r>
  </si>
  <si>
    <t>Factor de emisión</t>
  </si>
  <si>
    <t>Carga de animales</t>
  </si>
  <si>
    <r>
      <t>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/kgCarne</t>
    </r>
  </si>
  <si>
    <t>Emisiones evitadas por kg Carne</t>
  </si>
  <si>
    <r>
      <t>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/ha año</t>
    </r>
  </si>
  <si>
    <t>Emisiones por kg Carne</t>
  </si>
  <si>
    <t>Emisiones por ha</t>
  </si>
  <si>
    <t>Fuente: Elaboración propia</t>
  </si>
  <si>
    <r>
      <t xml:space="preserve">Murgueitio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(2012) Los sistemas silvopastoriles intensivos, herramienta de mitigación y adaptación del cambio climático. IV Congreso Internacional sobre Sistemas Silvopastoriles Intensivos. Memorias, Morelia y Valle de Apatzingán/Tepalcatepec pp 1 - 8.</t>
    </r>
  </si>
  <si>
    <r>
      <t xml:space="preserve">Fuente: Adaptado de Murgueitio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(2012)</t>
    </r>
  </si>
  <si>
    <t>Calculado</t>
  </si>
  <si>
    <t>Balance GEl</t>
  </si>
  <si>
    <t>Captura de C en el suelo árboles y arbustos</t>
  </si>
  <si>
    <t>Emisión de metano</t>
  </si>
  <si>
    <t>[0] D116</t>
  </si>
  <si>
    <t>Ajustado para dar la producción de carne dado el número de UA</t>
  </si>
  <si>
    <t>kgCarne/UA</t>
  </si>
  <si>
    <t>[0] D142</t>
  </si>
  <si>
    <t>[0] F142</t>
  </si>
  <si>
    <t>kgCarne/año</t>
  </si>
  <si>
    <t>Producción anual de carne</t>
  </si>
  <si>
    <t>[0] F143</t>
  </si>
  <si>
    <t>kgCarne/ha año</t>
  </si>
  <si>
    <t>Calculado pero coincide con el dato de [0] D73</t>
  </si>
  <si>
    <t>UA/año</t>
  </si>
  <si>
    <t>Animales</t>
  </si>
  <si>
    <t>[0] D218</t>
  </si>
  <si>
    <t>Mínimo coeficiente de agostadero de los reportados para Chihuahua</t>
  </si>
  <si>
    <t>PC [0]</t>
  </si>
  <si>
    <t>ÈÈ</t>
  </si>
  <si>
    <t>OCULTAR    esta columna para reporte</t>
  </si>
  <si>
    <t>[0] Se refiere al caso de estudio (Estrada et al. 2012)</t>
  </si>
  <si>
    <r>
      <t>kgCO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e/año</t>
    </r>
  </si>
  <si>
    <r>
      <t xml:space="preserve">[0] Se refiere al caso de estudio (Estrada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 2012)</t>
    </r>
  </si>
  <si>
    <r>
      <t>kgCO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/ha año</t>
    </r>
  </si>
  <si>
    <r>
      <t>kgCO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/kgCarne</t>
    </r>
  </si>
  <si>
    <r>
      <t>kgCO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e/UA</t>
    </r>
  </si>
  <si>
    <r>
      <t>kgCO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e/ha año</t>
    </r>
  </si>
  <si>
    <t>SSPi [0]</t>
  </si>
  <si>
    <t>Se puso igual al Número de UA que para el caso SSPi [0]</t>
  </si>
  <si>
    <t>FLUJOS DE EFECTIVO DESCONTADOS EN PESOS</t>
  </si>
  <si>
    <t>Tipo de cambio:</t>
  </si>
  <si>
    <t>FLUJOS DE EFECTIVO EN DÓLARES</t>
  </si>
  <si>
    <t>Tasa de aumento</t>
  </si>
  <si>
    <t>EOF</t>
  </si>
  <si>
    <t>SSPi(2)</t>
  </si>
  <si>
    <t>SSPi(1)</t>
  </si>
  <si>
    <t>PC-LB</t>
  </si>
  <si>
    <t>Normal</t>
  </si>
  <si>
    <t>Sequía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</si>
</sst>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0.0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_-* #,##0.0_-;\-* #,##0.0_-;_-* &quot;-&quot;??_-;_-@_-"/>
    <numFmt numFmtId="169" formatCode="0.0000"/>
    <numFmt numFmtId="170" formatCode="_-* #,##0.0000_-;\-* #,##0.0000_-;_-* &quot;-&quot;??_-;_-@_-"/>
    <numFmt numFmtId="171" formatCode="0.0%"/>
    <numFmt numFmtId="172" formatCode="_-* #,##0.000_-;\-* #,##0.000_-;_-* &quot;-&quot;??_-;_-@_-"/>
    <numFmt numFmtId="177" formatCode="0.000000"/>
    <numFmt numFmtId="178" formatCode="0.00000"/>
    <numFmt numFmtId="180" formatCode="#,##0.0"/>
    <numFmt numFmtId="181" formatCode="#,##0.00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color theme="1"/>
      <name val="Calibri"/>
      <family val="2"/>
      <charset val="2"/>
    </font>
    <font>
      <sz val="10"/>
      <color theme="1"/>
      <name val="Wingdings"/>
      <charset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Arial-BoldMT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Wingdings 3"/>
      <family val="1"/>
      <charset val="2"/>
    </font>
    <font>
      <vertAlign val="subscript"/>
      <sz val="11"/>
      <name val="Calibri"/>
      <family val="2"/>
      <scheme val="minor"/>
    </font>
    <font>
      <i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left"/>
    </xf>
    <xf numFmtId="44" fontId="0" fillId="0" borderId="0" xfId="2" applyFont="1"/>
    <xf numFmtId="10" fontId="0" fillId="0" borderId="0" xfId="0" applyNumberFormat="1"/>
    <xf numFmtId="166" fontId="0" fillId="0" borderId="0" xfId="1" applyNumberFormat="1" applyFont="1"/>
    <xf numFmtId="44" fontId="0" fillId="0" borderId="0" xfId="0" applyNumberFormat="1"/>
    <xf numFmtId="43" fontId="0" fillId="0" borderId="0" xfId="0" applyNumberFormat="1"/>
    <xf numFmtId="0" fontId="0" fillId="0" borderId="0" xfId="0" applyAlignment="1"/>
    <xf numFmtId="0" fontId="0" fillId="0" borderId="0" xfId="0" applyBorder="1"/>
    <xf numFmtId="0" fontId="1" fillId="0" borderId="0" xfId="0" applyFont="1" applyBorder="1" applyAlignment="1">
      <alignment horizontal="left"/>
    </xf>
    <xf numFmtId="165" fontId="0" fillId="0" borderId="0" xfId="0" applyNumberFormat="1" applyBorder="1"/>
    <xf numFmtId="164" fontId="0" fillId="0" borderId="0" xfId="0" applyNumberFormat="1" applyBorder="1"/>
    <xf numFmtId="9" fontId="0" fillId="0" borderId="1" xfId="0" applyNumberFormat="1" applyBorder="1"/>
    <xf numFmtId="10" fontId="0" fillId="0" borderId="0" xfId="3" applyNumberFormat="1" applyFont="1"/>
    <xf numFmtId="0" fontId="1" fillId="0" borderId="0" xfId="0" applyFont="1" applyBorder="1"/>
    <xf numFmtId="10" fontId="0" fillId="0" borderId="0" xfId="0" applyNumberFormat="1" applyBorder="1"/>
    <xf numFmtId="9" fontId="0" fillId="0" borderId="0" xfId="0" applyNumberFormat="1" applyBorder="1"/>
    <xf numFmtId="0" fontId="0" fillId="0" borderId="0" xfId="0" applyFill="1"/>
    <xf numFmtId="44" fontId="0" fillId="0" borderId="0" xfId="0" applyNumberFormat="1" applyFill="1"/>
    <xf numFmtId="43" fontId="0" fillId="0" borderId="0" xfId="1" applyFont="1" applyFill="1"/>
    <xf numFmtId="44" fontId="0" fillId="0" borderId="0" xfId="2" applyFont="1" applyFill="1"/>
    <xf numFmtId="0" fontId="0" fillId="7" borderId="0" xfId="0" applyFill="1"/>
    <xf numFmtId="43" fontId="0" fillId="6" borderId="0" xfId="1" applyFont="1" applyFill="1"/>
    <xf numFmtId="166" fontId="0" fillId="0" borderId="0" xfId="0" applyNumberFormat="1"/>
    <xf numFmtId="0" fontId="0" fillId="0" borderId="0" xfId="0" applyFont="1" applyBorder="1" applyAlignment="1">
      <alignment horizontal="left" indent="1"/>
    </xf>
    <xf numFmtId="2" fontId="0" fillId="6" borderId="0" xfId="0" applyNumberFormat="1" applyFill="1"/>
    <xf numFmtId="0" fontId="1" fillId="8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vertical="center"/>
    </xf>
    <xf numFmtId="0" fontId="0" fillId="0" borderId="1" xfId="0" applyFill="1" applyBorder="1"/>
    <xf numFmtId="165" fontId="0" fillId="0" borderId="1" xfId="0" applyNumberFormat="1" applyBorder="1" applyAlignment="1">
      <alignment horizontal="right" indent="2"/>
    </xf>
    <xf numFmtId="165" fontId="0" fillId="6" borderId="1" xfId="0" applyNumberFormat="1" applyFill="1" applyBorder="1" applyAlignment="1">
      <alignment horizontal="right" indent="2"/>
    </xf>
    <xf numFmtId="9" fontId="0" fillId="0" borderId="3" xfId="0" applyNumberFormat="1" applyFill="1" applyBorder="1" applyAlignment="1">
      <alignment horizontal="right" indent="2"/>
    </xf>
    <xf numFmtId="165" fontId="0" fillId="0" borderId="3" xfId="0" applyNumberFormat="1" applyBorder="1" applyAlignment="1">
      <alignment horizontal="right" indent="2"/>
    </xf>
    <xf numFmtId="9" fontId="0" fillId="0" borderId="3" xfId="0" applyNumberFormat="1" applyBorder="1" applyAlignment="1">
      <alignment horizontal="right" indent="2"/>
    </xf>
    <xf numFmtId="0" fontId="0" fillId="0" borderId="3" xfId="0" applyBorder="1" applyAlignment="1">
      <alignment horizontal="right"/>
    </xf>
    <xf numFmtId="166" fontId="0" fillId="0" borderId="3" xfId="1" applyNumberFormat="1" applyFont="1" applyBorder="1"/>
    <xf numFmtId="9" fontId="0" fillId="0" borderId="3" xfId="3" applyFont="1" applyBorder="1"/>
    <xf numFmtId="166" fontId="0" fillId="0" borderId="3" xfId="1" applyNumberFormat="1" applyFont="1" applyFill="1" applyBorder="1"/>
    <xf numFmtId="168" fontId="0" fillId="0" borderId="3" xfId="1" applyNumberFormat="1" applyFont="1" applyFill="1" applyBorder="1"/>
    <xf numFmtId="9" fontId="0" fillId="10" borderId="5" xfId="0" applyNumberFormat="1" applyFill="1" applyBorder="1" applyAlignment="1">
      <alignment horizontal="right" indent="2"/>
    </xf>
    <xf numFmtId="9" fontId="0" fillId="10" borderId="6" xfId="0" applyNumberFormat="1" applyFill="1" applyBorder="1" applyAlignment="1">
      <alignment horizontal="right" indent="2"/>
    </xf>
    <xf numFmtId="165" fontId="0" fillId="10" borderId="1" xfId="0" applyNumberFormat="1" applyFill="1" applyBorder="1" applyAlignment="1">
      <alignment horizontal="right" indent="2"/>
    </xf>
    <xf numFmtId="165" fontId="0" fillId="10" borderId="8" xfId="0" applyNumberFormat="1" applyFill="1" applyBorder="1" applyAlignment="1">
      <alignment horizontal="right" indent="2"/>
    </xf>
    <xf numFmtId="9" fontId="0" fillId="10" borderId="1" xfId="0" applyNumberFormat="1" applyFill="1" applyBorder="1" applyAlignment="1">
      <alignment horizontal="right" indent="2"/>
    </xf>
    <xf numFmtId="9" fontId="0" fillId="10" borderId="8" xfId="0" applyNumberFormat="1" applyFill="1" applyBorder="1" applyAlignment="1">
      <alignment horizontal="right" indent="2"/>
    </xf>
    <xf numFmtId="0" fontId="0" fillId="10" borderId="1" xfId="0" applyFill="1" applyBorder="1" applyAlignment="1">
      <alignment horizontal="right"/>
    </xf>
    <xf numFmtId="0" fontId="0" fillId="10" borderId="8" xfId="0" applyFill="1" applyBorder="1" applyAlignment="1">
      <alignment horizontal="right"/>
    </xf>
    <xf numFmtId="166" fontId="0" fillId="10" borderId="1" xfId="1" applyNumberFormat="1" applyFont="1" applyFill="1" applyBorder="1"/>
    <xf numFmtId="166" fontId="0" fillId="10" borderId="8" xfId="1" applyNumberFormat="1" applyFont="1" applyFill="1" applyBorder="1"/>
    <xf numFmtId="9" fontId="0" fillId="10" borderId="1" xfId="3" applyFont="1" applyFill="1" applyBorder="1"/>
    <xf numFmtId="9" fontId="0" fillId="10" borderId="8" xfId="3" applyFont="1" applyFill="1" applyBorder="1"/>
    <xf numFmtId="168" fontId="0" fillId="10" borderId="10" xfId="1" applyNumberFormat="1" applyFont="1" applyFill="1" applyBorder="1"/>
    <xf numFmtId="168" fontId="0" fillId="10" borderId="11" xfId="1" applyNumberFormat="1" applyFont="1" applyFill="1" applyBorder="1"/>
    <xf numFmtId="9" fontId="5" fillId="10" borderId="4" xfId="0" applyNumberFormat="1" applyFont="1" applyFill="1" applyBorder="1" applyAlignment="1">
      <alignment horizontal="right" indent="2"/>
    </xf>
    <xf numFmtId="165" fontId="5" fillId="10" borderId="7" xfId="0" applyNumberFormat="1" applyFont="1" applyFill="1" applyBorder="1" applyAlignment="1">
      <alignment horizontal="right" indent="2"/>
    </xf>
    <xf numFmtId="9" fontId="5" fillId="10" borderId="7" xfId="0" applyNumberFormat="1" applyFont="1" applyFill="1" applyBorder="1" applyAlignment="1">
      <alignment horizontal="right" indent="2"/>
    </xf>
    <xf numFmtId="0" fontId="5" fillId="10" borderId="7" xfId="0" applyFont="1" applyFill="1" applyBorder="1" applyAlignment="1">
      <alignment horizontal="right"/>
    </xf>
    <xf numFmtId="166" fontId="5" fillId="10" borderId="7" xfId="1" applyNumberFormat="1" applyFont="1" applyFill="1" applyBorder="1"/>
    <xf numFmtId="9" fontId="5" fillId="10" borderId="7" xfId="3" applyFont="1" applyFill="1" applyBorder="1"/>
    <xf numFmtId="168" fontId="5" fillId="10" borderId="9" xfId="1" applyNumberFormat="1" applyFont="1" applyFill="1" applyBorder="1"/>
    <xf numFmtId="9" fontId="0" fillId="11" borderId="4" xfId="0" applyNumberFormat="1" applyFill="1" applyBorder="1" applyAlignment="1">
      <alignment horizontal="right" indent="2"/>
    </xf>
    <xf numFmtId="9" fontId="0" fillId="11" borderId="5" xfId="0" applyNumberFormat="1" applyFill="1" applyBorder="1" applyAlignment="1">
      <alignment horizontal="right" indent="2"/>
    </xf>
    <xf numFmtId="165" fontId="0" fillId="11" borderId="7" xfId="0" applyNumberFormat="1" applyFill="1" applyBorder="1" applyAlignment="1">
      <alignment horizontal="right" indent="2"/>
    </xf>
    <xf numFmtId="165" fontId="0" fillId="11" borderId="1" xfId="0" applyNumberFormat="1" applyFill="1" applyBorder="1" applyAlignment="1">
      <alignment horizontal="right" indent="2"/>
    </xf>
    <xf numFmtId="9" fontId="0" fillId="11" borderId="7" xfId="0" applyNumberFormat="1" applyFill="1" applyBorder="1" applyAlignment="1">
      <alignment horizontal="right" indent="2"/>
    </xf>
    <xf numFmtId="9" fontId="0" fillId="11" borderId="1" xfId="0" applyNumberFormat="1" applyFill="1" applyBorder="1" applyAlignment="1">
      <alignment horizontal="right" indent="2"/>
    </xf>
    <xf numFmtId="0" fontId="0" fillId="11" borderId="7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166" fontId="0" fillId="11" borderId="7" xfId="1" applyNumberFormat="1" applyFont="1" applyFill="1" applyBorder="1"/>
    <xf numFmtId="166" fontId="0" fillId="11" borderId="1" xfId="1" applyNumberFormat="1" applyFont="1" applyFill="1" applyBorder="1"/>
    <xf numFmtId="9" fontId="0" fillId="11" borderId="7" xfId="3" applyFont="1" applyFill="1" applyBorder="1"/>
    <xf numFmtId="9" fontId="0" fillId="11" borderId="1" xfId="3" applyFont="1" applyFill="1" applyBorder="1"/>
    <xf numFmtId="168" fontId="0" fillId="11" borderId="9" xfId="1" applyNumberFormat="1" applyFont="1" applyFill="1" applyBorder="1"/>
    <xf numFmtId="168" fontId="0" fillId="11" borderId="10" xfId="1" applyNumberFormat="1" applyFont="1" applyFill="1" applyBorder="1"/>
    <xf numFmtId="9" fontId="6" fillId="11" borderId="6" xfId="0" applyNumberFormat="1" applyFont="1" applyFill="1" applyBorder="1" applyAlignment="1">
      <alignment horizontal="right" indent="2"/>
    </xf>
    <xf numFmtId="165" fontId="6" fillId="11" borderId="8" xfId="0" applyNumberFormat="1" applyFont="1" applyFill="1" applyBorder="1" applyAlignment="1">
      <alignment horizontal="right" indent="2"/>
    </xf>
    <xf numFmtId="9" fontId="6" fillId="11" borderId="8" xfId="0" applyNumberFormat="1" applyFont="1" applyFill="1" applyBorder="1" applyAlignment="1">
      <alignment horizontal="right" indent="2"/>
    </xf>
    <xf numFmtId="0" fontId="6" fillId="11" borderId="8" xfId="0" applyFont="1" applyFill="1" applyBorder="1" applyAlignment="1">
      <alignment horizontal="right"/>
    </xf>
    <xf numFmtId="166" fontId="6" fillId="11" borderId="8" xfId="1" applyNumberFormat="1" applyFont="1" applyFill="1" applyBorder="1"/>
    <xf numFmtId="9" fontId="6" fillId="11" borderId="8" xfId="3" applyFont="1" applyFill="1" applyBorder="1"/>
    <xf numFmtId="168" fontId="6" fillId="11" borderId="11" xfId="1" applyNumberFormat="1" applyFont="1" applyFill="1" applyBorder="1"/>
    <xf numFmtId="9" fontId="0" fillId="12" borderId="4" xfId="0" applyNumberFormat="1" applyFill="1" applyBorder="1" applyAlignment="1">
      <alignment horizontal="right" indent="2"/>
    </xf>
    <xf numFmtId="9" fontId="0" fillId="12" borderId="6" xfId="0" applyNumberFormat="1" applyFill="1" applyBorder="1" applyAlignment="1">
      <alignment horizontal="right" indent="2"/>
    </xf>
    <xf numFmtId="165" fontId="0" fillId="12" borderId="7" xfId="0" applyNumberFormat="1" applyFill="1" applyBorder="1" applyAlignment="1">
      <alignment horizontal="right" indent="2"/>
    </xf>
    <xf numFmtId="165" fontId="0" fillId="12" borderId="8" xfId="0" applyNumberFormat="1" applyFill="1" applyBorder="1" applyAlignment="1">
      <alignment horizontal="right" indent="2"/>
    </xf>
    <xf numFmtId="9" fontId="0" fillId="12" borderId="7" xfId="0" applyNumberFormat="1" applyFill="1" applyBorder="1" applyAlignment="1">
      <alignment horizontal="right" indent="2"/>
    </xf>
    <xf numFmtId="9" fontId="0" fillId="12" borderId="8" xfId="0" applyNumberFormat="1" applyFill="1" applyBorder="1" applyAlignment="1">
      <alignment horizontal="right" indent="2"/>
    </xf>
    <xf numFmtId="0" fontId="0" fillId="12" borderId="7" xfId="0" applyFill="1" applyBorder="1" applyAlignment="1">
      <alignment horizontal="right"/>
    </xf>
    <xf numFmtId="0" fontId="0" fillId="12" borderId="8" xfId="0" applyFill="1" applyBorder="1" applyAlignment="1">
      <alignment horizontal="right"/>
    </xf>
    <xf numFmtId="166" fontId="0" fillId="12" borderId="7" xfId="1" applyNumberFormat="1" applyFont="1" applyFill="1" applyBorder="1"/>
    <xf numFmtId="166" fontId="0" fillId="12" borderId="8" xfId="1" applyNumberFormat="1" applyFont="1" applyFill="1" applyBorder="1"/>
    <xf numFmtId="9" fontId="0" fillId="12" borderId="7" xfId="3" applyFont="1" applyFill="1" applyBorder="1"/>
    <xf numFmtId="9" fontId="0" fillId="12" borderId="8" xfId="3" applyFont="1" applyFill="1" applyBorder="1"/>
    <xf numFmtId="168" fontId="0" fillId="12" borderId="9" xfId="1" applyNumberFormat="1" applyFont="1" applyFill="1" applyBorder="1"/>
    <xf numFmtId="168" fontId="0" fillId="12" borderId="11" xfId="1" applyNumberFormat="1" applyFont="1" applyFill="1" applyBorder="1"/>
    <xf numFmtId="9" fontId="7" fillId="12" borderId="5" xfId="0" applyNumberFormat="1" applyFont="1" applyFill="1" applyBorder="1" applyAlignment="1">
      <alignment horizontal="right" indent="2"/>
    </xf>
    <xf numFmtId="165" fontId="7" fillId="12" borderId="1" xfId="0" applyNumberFormat="1" applyFont="1" applyFill="1" applyBorder="1" applyAlignment="1">
      <alignment horizontal="right" indent="2"/>
    </xf>
    <xf numFmtId="9" fontId="7" fillId="12" borderId="1" xfId="0" applyNumberFormat="1" applyFont="1" applyFill="1" applyBorder="1" applyAlignment="1">
      <alignment horizontal="right" indent="2"/>
    </xf>
    <xf numFmtId="0" fontId="7" fillId="12" borderId="1" xfId="0" applyFont="1" applyFill="1" applyBorder="1" applyAlignment="1">
      <alignment horizontal="right"/>
    </xf>
    <xf numFmtId="166" fontId="7" fillId="12" borderId="1" xfId="1" applyNumberFormat="1" applyFont="1" applyFill="1" applyBorder="1"/>
    <xf numFmtId="9" fontId="7" fillId="12" borderId="1" xfId="3" applyFont="1" applyFill="1" applyBorder="1"/>
    <xf numFmtId="168" fontId="7" fillId="12" borderId="10" xfId="1" applyNumberFormat="1" applyFont="1" applyFill="1" applyBorder="1"/>
    <xf numFmtId="169" fontId="0" fillId="0" borderId="1" xfId="0" applyNumberFormat="1" applyBorder="1" applyAlignment="1">
      <alignment horizontal="right" indent="2"/>
    </xf>
    <xf numFmtId="0" fontId="8" fillId="0" borderId="0" xfId="0" applyFont="1"/>
    <xf numFmtId="3" fontId="0" fillId="0" borderId="0" xfId="0" applyNumberFormat="1"/>
    <xf numFmtId="0" fontId="1" fillId="0" borderId="7" xfId="0" applyFont="1" applyBorder="1"/>
    <xf numFmtId="0" fontId="1" fillId="6" borderId="8" xfId="0" applyFont="1" applyFill="1" applyBorder="1"/>
    <xf numFmtId="0" fontId="0" fillId="0" borderId="7" xfId="0" applyBorder="1" applyAlignment="1">
      <alignment horizontal="left" indent="1"/>
    </xf>
    <xf numFmtId="10" fontId="0" fillId="6" borderId="8" xfId="0" applyNumberFormat="1" applyFill="1" applyBorder="1"/>
    <xf numFmtId="9" fontId="0" fillId="6" borderId="8" xfId="0" applyNumberFormat="1" applyFill="1" applyBorder="1"/>
    <xf numFmtId="0" fontId="1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 indent="1"/>
    </xf>
    <xf numFmtId="0" fontId="0" fillId="6" borderId="8" xfId="0" applyFill="1" applyBorder="1"/>
    <xf numFmtId="0" fontId="0" fillId="0" borderId="9" xfId="0" applyFont="1" applyBorder="1" applyAlignment="1">
      <alignment horizontal="left" indent="1"/>
    </xf>
    <xf numFmtId="0" fontId="0" fillId="0" borderId="10" xfId="0" applyBorder="1"/>
    <xf numFmtId="0" fontId="0" fillId="6" borderId="11" xfId="0" applyFill="1" applyBorder="1"/>
    <xf numFmtId="0" fontId="0" fillId="0" borderId="12" xfId="0" applyBorder="1"/>
    <xf numFmtId="0" fontId="0" fillId="0" borderId="13" xfId="0" applyBorder="1"/>
    <xf numFmtId="166" fontId="0" fillId="0" borderId="0" xfId="1" applyNumberFormat="1" applyFont="1" applyFill="1"/>
    <xf numFmtId="167" fontId="0" fillId="0" borderId="0" xfId="0" applyNumberFormat="1" applyFill="1"/>
    <xf numFmtId="0" fontId="11" fillId="0" borderId="0" xfId="0" applyFont="1"/>
    <xf numFmtId="43" fontId="0" fillId="0" borderId="0" xfId="0" applyNumberFormat="1" applyFill="1"/>
    <xf numFmtId="0" fontId="0" fillId="0" borderId="7" xfId="0" applyBorder="1"/>
    <xf numFmtId="166" fontId="0" fillId="6" borderId="8" xfId="1" applyNumberFormat="1" applyFont="1" applyFill="1" applyBorder="1"/>
    <xf numFmtId="44" fontId="0" fillId="6" borderId="8" xfId="2" applyFont="1" applyFill="1" applyBorder="1"/>
    <xf numFmtId="0" fontId="0" fillId="0" borderId="9" xfId="0" applyBorder="1"/>
    <xf numFmtId="44" fontId="0" fillId="6" borderId="11" xfId="0" applyNumberFormat="1" applyFill="1" applyBorder="1"/>
    <xf numFmtId="166" fontId="0" fillId="6" borderId="14" xfId="1" applyNumberFormat="1" applyFont="1" applyFill="1" applyBorder="1"/>
    <xf numFmtId="44" fontId="0" fillId="0" borderId="1" xfId="2" applyFont="1" applyBorder="1"/>
    <xf numFmtId="0" fontId="12" fillId="0" borderId="1" xfId="4" applyBorder="1"/>
    <xf numFmtId="43" fontId="0" fillId="0" borderId="1" xfId="0" applyNumberFormat="1" applyBorder="1"/>
    <xf numFmtId="9" fontId="0" fillId="0" borderId="1" xfId="0" applyNumberFormat="1" applyFill="1" applyBorder="1" applyAlignment="1">
      <alignment horizontal="right" indent="2"/>
    </xf>
    <xf numFmtId="9" fontId="0" fillId="0" borderId="1" xfId="0" applyNumberFormat="1" applyBorder="1" applyAlignment="1">
      <alignment horizontal="right" indent="2"/>
    </xf>
    <xf numFmtId="0" fontId="0" fillId="0" borderId="1" xfId="0" applyBorder="1" applyAlignment="1">
      <alignment horizontal="right"/>
    </xf>
    <xf numFmtId="166" fontId="0" fillId="0" borderId="1" xfId="1" applyNumberFormat="1" applyFont="1" applyBorder="1"/>
    <xf numFmtId="9" fontId="0" fillId="0" borderId="1" xfId="3" applyFont="1" applyBorder="1"/>
    <xf numFmtId="166" fontId="0" fillId="0" borderId="1" xfId="1" applyNumberFormat="1" applyFont="1" applyFill="1" applyBorder="1"/>
    <xf numFmtId="168" fontId="0" fillId="0" borderId="1" xfId="1" applyNumberFormat="1" applyFont="1" applyFill="1" applyBorder="1"/>
    <xf numFmtId="0" fontId="0" fillId="10" borderId="1" xfId="0" applyFill="1" applyBorder="1"/>
    <xf numFmtId="0" fontId="0" fillId="9" borderId="1" xfId="0" applyFill="1" applyBorder="1"/>
    <xf numFmtId="165" fontId="0" fillId="10" borderId="1" xfId="0" applyNumberFormat="1" applyFill="1" applyBorder="1"/>
    <xf numFmtId="165" fontId="0" fillId="9" borderId="1" xfId="0" applyNumberFormat="1" applyFill="1" applyBorder="1"/>
    <xf numFmtId="3" fontId="0" fillId="10" borderId="1" xfId="0" applyNumberFormat="1" applyFill="1" applyBorder="1"/>
    <xf numFmtId="3" fontId="0" fillId="9" borderId="1" xfId="0" applyNumberFormat="1" applyFill="1" applyBorder="1"/>
    <xf numFmtId="0" fontId="0" fillId="0" borderId="20" xfId="0" applyBorder="1"/>
    <xf numFmtId="0" fontId="0" fillId="0" borderId="0" xfId="0" applyFont="1" applyFill="1" applyBorder="1" applyAlignment="1">
      <alignment horizontal="left" inden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0" xfId="0" applyAlignment="1">
      <alignment horizontal="right"/>
    </xf>
    <xf numFmtId="10" fontId="0" fillId="0" borderId="0" xfId="0" applyNumberFormat="1" applyFill="1" applyBorder="1"/>
    <xf numFmtId="44" fontId="0" fillId="6" borderId="6" xfId="0" applyNumberFormat="1" applyFill="1" applyBorder="1"/>
    <xf numFmtId="44" fontId="0" fillId="6" borderId="8" xfId="0" applyNumberFormat="1" applyFill="1" applyBorder="1"/>
    <xf numFmtId="10" fontId="0" fillId="6" borderId="11" xfId="0" applyNumberFormat="1" applyFill="1" applyBorder="1"/>
    <xf numFmtId="0" fontId="0" fillId="6" borderId="1" xfId="0" applyFill="1" applyBorder="1"/>
    <xf numFmtId="0" fontId="0" fillId="6" borderId="6" xfId="0" applyFill="1" applyBorder="1"/>
    <xf numFmtId="44" fontId="0" fillId="6" borderId="6" xfId="2" applyFont="1" applyFill="1" applyBorder="1"/>
    <xf numFmtId="44" fontId="0" fillId="6" borderId="11" xfId="2" applyFont="1" applyFill="1" applyBorder="1"/>
    <xf numFmtId="0" fontId="0" fillId="0" borderId="26" xfId="0" applyBorder="1"/>
    <xf numFmtId="0" fontId="0" fillId="0" borderId="28" xfId="0" applyBorder="1"/>
    <xf numFmtId="0" fontId="0" fillId="0" borderId="5" xfId="0" applyFill="1" applyBorder="1"/>
    <xf numFmtId="0" fontId="1" fillId="0" borderId="9" xfId="0" applyFont="1" applyBorder="1" applyAlignment="1">
      <alignment horizontal="left"/>
    </xf>
    <xf numFmtId="1" fontId="0" fillId="14" borderId="6" xfId="0" applyNumberFormat="1" applyFill="1" applyBorder="1"/>
    <xf numFmtId="1" fontId="0" fillId="14" borderId="8" xfId="0" applyNumberFormat="1" applyFill="1" applyBorder="1"/>
    <xf numFmtId="0" fontId="0" fillId="14" borderId="8" xfId="0" applyFill="1" applyBorder="1"/>
    <xf numFmtId="165" fontId="0" fillId="14" borderId="11" xfId="0" applyNumberFormat="1" applyFill="1" applyBorder="1"/>
    <xf numFmtId="0" fontId="0" fillId="0" borderId="4" xfId="0" applyFont="1" applyBorder="1" applyAlignment="1">
      <alignment horizontal="left" indent="1"/>
    </xf>
    <xf numFmtId="165" fontId="0" fillId="14" borderId="6" xfId="0" applyNumberFormat="1" applyFill="1" applyBorder="1"/>
    <xf numFmtId="165" fontId="0" fillId="14" borderId="8" xfId="0" applyNumberFormat="1" applyFill="1" applyBorder="1"/>
    <xf numFmtId="10" fontId="0" fillId="6" borderId="6" xfId="0" applyNumberFormat="1" applyFill="1" applyBorder="1"/>
    <xf numFmtId="0" fontId="0" fillId="13" borderId="1" xfId="0" applyFill="1" applyBorder="1"/>
    <xf numFmtId="166" fontId="0" fillId="3" borderId="6" xfId="1" applyNumberFormat="1" applyFont="1" applyFill="1" applyBorder="1"/>
    <xf numFmtId="0" fontId="0" fillId="0" borderId="23" xfId="0" applyBorder="1"/>
    <xf numFmtId="0" fontId="0" fillId="0" borderId="24" xfId="0" applyBorder="1"/>
    <xf numFmtId="0" fontId="0" fillId="0" borderId="29" xfId="0" applyBorder="1"/>
    <xf numFmtId="0" fontId="0" fillId="15" borderId="1" xfId="0" applyFill="1" applyBorder="1" applyAlignment="1">
      <alignment wrapText="1"/>
    </xf>
    <xf numFmtId="0" fontId="0" fillId="15" borderId="1" xfId="0" applyFill="1" applyBorder="1"/>
    <xf numFmtId="0" fontId="0" fillId="15" borderId="1" xfId="0" applyFill="1" applyBorder="1" applyAlignment="1"/>
    <xf numFmtId="0" fontId="0" fillId="0" borderId="18" xfId="0" applyBorder="1"/>
    <xf numFmtId="0" fontId="0" fillId="0" borderId="31" xfId="0" applyBorder="1"/>
    <xf numFmtId="0" fontId="0" fillId="6" borderId="32" xfId="0" applyFill="1" applyBorder="1"/>
    <xf numFmtId="0" fontId="0" fillId="0" borderId="33" xfId="0" applyBorder="1"/>
    <xf numFmtId="0" fontId="0" fillId="0" borderId="34" xfId="0" applyBorder="1"/>
    <xf numFmtId="0" fontId="0" fillId="6" borderId="35" xfId="0" applyFill="1" applyBorder="1"/>
    <xf numFmtId="9" fontId="0" fillId="6" borderId="11" xfId="0" applyNumberFormat="1" applyFill="1" applyBorder="1"/>
    <xf numFmtId="44" fontId="0" fillId="0" borderId="1" xfId="0" applyNumberFormat="1" applyBorder="1"/>
    <xf numFmtId="0" fontId="0" fillId="0" borderId="19" xfId="0" applyBorder="1"/>
    <xf numFmtId="44" fontId="0" fillId="6" borderId="21" xfId="2" applyFont="1" applyFill="1" applyBorder="1"/>
    <xf numFmtId="166" fontId="0" fillId="6" borderId="21" xfId="1" applyNumberFormat="1" applyFont="1" applyFill="1" applyBorder="1"/>
    <xf numFmtId="0" fontId="3" fillId="0" borderId="1" xfId="0" applyFont="1" applyFill="1" applyBorder="1"/>
    <xf numFmtId="166" fontId="0" fillId="3" borderId="1" xfId="1" applyNumberFormat="1" applyFont="1" applyFill="1" applyBorder="1"/>
    <xf numFmtId="44" fontId="0" fillId="3" borderId="1" xfId="2" applyFont="1" applyFill="1" applyBorder="1"/>
    <xf numFmtId="43" fontId="0" fillId="3" borderId="1" xfId="1" applyFont="1" applyFill="1" applyBorder="1"/>
    <xf numFmtId="44" fontId="0" fillId="3" borderId="1" xfId="0" applyNumberFormat="1" applyFill="1" applyBorder="1"/>
    <xf numFmtId="43" fontId="0" fillId="6" borderId="8" xfId="1" applyFont="1" applyFill="1" applyBorder="1"/>
    <xf numFmtId="0" fontId="0" fillId="0" borderId="4" xfId="0" applyFill="1" applyBorder="1"/>
    <xf numFmtId="44" fontId="0" fillId="0" borderId="0" xfId="2" applyFont="1" applyFill="1" applyBorder="1"/>
    <xf numFmtId="44" fontId="0" fillId="0" borderId="0" xfId="0" applyNumberFormat="1" applyFill="1" applyBorder="1"/>
    <xf numFmtId="0" fontId="0" fillId="16" borderId="1" xfId="0" applyFill="1" applyBorder="1"/>
    <xf numFmtId="166" fontId="0" fillId="17" borderId="0" xfId="1" applyNumberFormat="1" applyFont="1" applyFill="1"/>
    <xf numFmtId="166" fontId="3" fillId="17" borderId="0" xfId="1" applyNumberFormat="1" applyFont="1" applyFill="1"/>
    <xf numFmtId="43" fontId="3" fillId="17" borderId="0" xfId="0" applyNumberFormat="1" applyFont="1" applyFill="1"/>
    <xf numFmtId="43" fontId="0" fillId="17" borderId="1" xfId="1" applyFont="1" applyFill="1" applyBorder="1"/>
    <xf numFmtId="43" fontId="3" fillId="17" borderId="1" xfId="1" applyFont="1" applyFill="1" applyBorder="1"/>
    <xf numFmtId="44" fontId="3" fillId="0" borderId="1" xfId="2" applyFont="1" applyFill="1" applyBorder="1"/>
    <xf numFmtId="43" fontId="0" fillId="17" borderId="30" xfId="1" applyFont="1" applyFill="1" applyBorder="1"/>
    <xf numFmtId="44" fontId="0" fillId="0" borderId="30" xfId="2" applyFont="1" applyBorder="1"/>
    <xf numFmtId="166" fontId="0" fillId="0" borderId="30" xfId="1" applyNumberFormat="1" applyFont="1" applyBorder="1"/>
    <xf numFmtId="43" fontId="3" fillId="17" borderId="30" xfId="1" applyFont="1" applyFill="1" applyBorder="1"/>
    <xf numFmtId="44" fontId="3" fillId="0" borderId="30" xfId="2" applyFont="1" applyFill="1" applyBorder="1"/>
    <xf numFmtId="44" fontId="0" fillId="0" borderId="30" xfId="0" applyNumberFormat="1" applyBorder="1"/>
    <xf numFmtId="166" fontId="0" fillId="6" borderId="6" xfId="1" applyNumberFormat="1" applyFont="1" applyFill="1" applyBorder="1"/>
    <xf numFmtId="43" fontId="0" fillId="3" borderId="8" xfId="1" applyFont="1" applyFill="1" applyBorder="1"/>
    <xf numFmtId="9" fontId="0" fillId="0" borderId="1" xfId="0" applyNumberFormat="1" applyFill="1" applyBorder="1"/>
    <xf numFmtId="0" fontId="0" fillId="0" borderId="30" xfId="0" applyFill="1" applyBorder="1"/>
    <xf numFmtId="9" fontId="0" fillId="0" borderId="30" xfId="0" applyNumberFormat="1" applyFill="1" applyBorder="1"/>
    <xf numFmtId="166" fontId="0" fillId="0" borderId="30" xfId="1" applyNumberFormat="1" applyFont="1" applyFill="1" applyBorder="1"/>
    <xf numFmtId="44" fontId="0" fillId="17" borderId="0" xfId="2" applyFont="1" applyFill="1"/>
    <xf numFmtId="44" fontId="0" fillId="6" borderId="36" xfId="0" applyNumberFormat="1" applyFill="1" applyBorder="1"/>
    <xf numFmtId="165" fontId="1" fillId="6" borderId="8" xfId="0" applyNumberFormat="1" applyFont="1" applyFill="1" applyBorder="1"/>
    <xf numFmtId="165" fontId="1" fillId="6" borderId="11" xfId="0" applyNumberFormat="1" applyFont="1" applyFill="1" applyBorder="1"/>
    <xf numFmtId="43" fontId="0" fillId="0" borderId="0" xfId="1" applyNumberFormat="1" applyFont="1"/>
    <xf numFmtId="2" fontId="0" fillId="0" borderId="0" xfId="0" applyNumberFormat="1" applyBorder="1"/>
    <xf numFmtId="165" fontId="0" fillId="0" borderId="0" xfId="0" applyNumberFormat="1"/>
    <xf numFmtId="0" fontId="0" fillId="0" borderId="4" xfId="0" applyFont="1" applyFill="1" applyBorder="1" applyAlignment="1">
      <alignment horizontal="left" indent="1"/>
    </xf>
    <xf numFmtId="44" fontId="0" fillId="13" borderId="1" xfId="0" applyNumberForma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0" fillId="0" borderId="1" xfId="0" applyFont="1" applyFill="1" applyBorder="1" applyAlignment="1">
      <alignment horizontal="left" indent="1"/>
    </xf>
    <xf numFmtId="0" fontId="11" fillId="0" borderId="1" xfId="0" applyFont="1" applyBorder="1" applyAlignment="1">
      <alignment horizontal="center" vertical="top" wrapText="1"/>
    </xf>
    <xf numFmtId="9" fontId="11" fillId="0" borderId="0" xfId="0" applyNumberFormat="1" applyFont="1" applyAlignment="1">
      <alignment wrapText="1"/>
    </xf>
    <xf numFmtId="0" fontId="11" fillId="0" borderId="0" xfId="0" applyFont="1" applyAlignment="1">
      <alignment horizontal="right"/>
    </xf>
    <xf numFmtId="44" fontId="11" fillId="0" borderId="0" xfId="0" applyNumberFormat="1" applyFont="1"/>
    <xf numFmtId="0" fontId="11" fillId="0" borderId="1" xfId="0" applyFont="1" applyBorder="1"/>
    <xf numFmtId="44" fontId="11" fillId="0" borderId="1" xfId="0" applyNumberFormat="1" applyFont="1" applyBorder="1" applyAlignment="1">
      <alignment wrapText="1"/>
    </xf>
    <xf numFmtId="44" fontId="11" fillId="0" borderId="1" xfId="0" applyNumberFormat="1" applyFont="1" applyBorder="1"/>
    <xf numFmtId="2" fontId="0" fillId="0" borderId="1" xfId="0" applyNumberFormat="1" applyBorder="1"/>
    <xf numFmtId="0" fontId="13" fillId="0" borderId="0" xfId="0" applyFont="1"/>
    <xf numFmtId="170" fontId="0" fillId="6" borderId="0" xfId="1" applyNumberFormat="1" applyFont="1" applyFill="1"/>
    <xf numFmtId="0" fontId="14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4" fontId="0" fillId="6" borderId="1" xfId="2" applyFont="1" applyFill="1" applyBorder="1" applyAlignment="1">
      <alignment vertical="center"/>
    </xf>
    <xf numFmtId="44" fontId="0" fillId="0" borderId="0" xfId="2" applyFont="1" applyFill="1" applyBorder="1" applyAlignment="1">
      <alignment vertical="center"/>
    </xf>
    <xf numFmtId="170" fontId="0" fillId="0" borderId="0" xfId="1" applyNumberFormat="1" applyFont="1" applyFill="1" applyBorder="1"/>
    <xf numFmtId="0" fontId="0" fillId="13" borderId="1" xfId="0" applyFill="1" applyBorder="1" applyAlignment="1">
      <alignment horizontal="left" vertical="center"/>
    </xf>
    <xf numFmtId="0" fontId="0" fillId="13" borderId="1" xfId="0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center" indent="1"/>
    </xf>
    <xf numFmtId="44" fontId="0" fillId="13" borderId="1" xfId="2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2" xfId="0" applyBorder="1"/>
    <xf numFmtId="0" fontId="0" fillId="0" borderId="25" xfId="0" applyBorder="1"/>
    <xf numFmtId="0" fontId="12" fillId="0" borderId="25" xfId="4" applyBorder="1"/>
    <xf numFmtId="0" fontId="0" fillId="0" borderId="27" xfId="0" applyBorder="1"/>
    <xf numFmtId="0" fontId="17" fillId="0" borderId="0" xfId="0" applyFont="1"/>
    <xf numFmtId="170" fontId="0" fillId="0" borderId="0" xfId="1" applyNumberFormat="1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2" fontId="11" fillId="0" borderId="1" xfId="0" applyNumberFormat="1" applyFont="1" applyBorder="1"/>
    <xf numFmtId="44" fontId="19" fillId="13" borderId="0" xfId="0" applyNumberFormat="1" applyFont="1" applyFill="1" applyAlignment="1">
      <alignment vertical="center"/>
    </xf>
    <xf numFmtId="0" fontId="19" fillId="13" borderId="0" xfId="0" applyFont="1" applyFill="1" applyAlignment="1">
      <alignment horizontal="right" vertical="center"/>
    </xf>
    <xf numFmtId="43" fontId="0" fillId="3" borderId="11" xfId="0" applyNumberFormat="1" applyFill="1" applyBorder="1"/>
    <xf numFmtId="0" fontId="0" fillId="0" borderId="1" xfId="0" applyBorder="1" applyAlignment="1">
      <alignment horizontal="center"/>
    </xf>
    <xf numFmtId="43" fontId="0" fillId="0" borderId="0" xfId="0" applyNumberFormat="1" applyFill="1" applyBorder="1"/>
    <xf numFmtId="43" fontId="3" fillId="0" borderId="0" xfId="0" applyNumberFormat="1" applyFont="1" applyFill="1"/>
    <xf numFmtId="9" fontId="0" fillId="0" borderId="0" xfId="3" applyFont="1"/>
    <xf numFmtId="168" fontId="0" fillId="17" borderId="0" xfId="0" applyNumberFormat="1" applyFill="1"/>
    <xf numFmtId="0" fontId="0" fillId="0" borderId="0" xfId="0" applyAlignment="1">
      <alignment horizontal="right" indent="3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1" fontId="0" fillId="6" borderId="6" xfId="3" applyNumberFormat="1" applyFont="1" applyFill="1" applyBorder="1"/>
    <xf numFmtId="171" fontId="0" fillId="3" borderId="0" xfId="3" applyNumberFormat="1" applyFont="1" applyFill="1"/>
    <xf numFmtId="172" fontId="0" fillId="6" borderId="1" xfId="1" applyNumberFormat="1" applyFont="1" applyFill="1" applyBorder="1"/>
    <xf numFmtId="9" fontId="11" fillId="6" borderId="0" xfId="0" applyNumberFormat="1" applyFont="1" applyFill="1" applyAlignment="1">
      <alignment wrapText="1"/>
    </xf>
    <xf numFmtId="43" fontId="0" fillId="2" borderId="1" xfId="1" applyNumberFormat="1" applyFont="1" applyFill="1" applyBorder="1"/>
    <xf numFmtId="43" fontId="0" fillId="3" borderId="1" xfId="1" applyNumberFormat="1" applyFont="1" applyFill="1" applyBorder="1"/>
    <xf numFmtId="44" fontId="0" fillId="0" borderId="0" xfId="3" applyNumberFormat="1" applyFont="1"/>
    <xf numFmtId="171" fontId="0" fillId="0" borderId="0" xfId="2" applyNumberFormat="1" applyFont="1"/>
    <xf numFmtId="0" fontId="1" fillId="8" borderId="2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78" fontId="0" fillId="0" borderId="0" xfId="0" applyNumberFormat="1"/>
    <xf numFmtId="166" fontId="0" fillId="3" borderId="8" xfId="1" applyNumberFormat="1" applyFont="1" applyFill="1" applyBorder="1"/>
    <xf numFmtId="166" fontId="0" fillId="3" borderId="0" xfId="1" applyNumberFormat="1" applyFont="1" applyFill="1" applyBorder="1"/>
    <xf numFmtId="43" fontId="0" fillId="3" borderId="0" xfId="0" applyNumberFormat="1" applyFill="1" applyBorder="1"/>
    <xf numFmtId="43" fontId="0" fillId="6" borderId="1" xfId="1" applyFont="1" applyFill="1" applyBorder="1"/>
    <xf numFmtId="0" fontId="20" fillId="4" borderId="0" xfId="0" applyFont="1" applyFill="1" applyAlignment="1">
      <alignment horizontal="center" vertical="top" wrapText="1"/>
    </xf>
    <xf numFmtId="0" fontId="20" fillId="5" borderId="0" xfId="0" applyFont="1" applyFill="1" applyAlignment="1">
      <alignment horizontal="center" vertical="top" wrapText="1"/>
    </xf>
    <xf numFmtId="43" fontId="1" fillId="6" borderId="1" xfId="0" applyNumberFormat="1" applyFont="1" applyFill="1" applyBorder="1"/>
    <xf numFmtId="3" fontId="3" fillId="0" borderId="1" xfId="0" applyNumberFormat="1" applyFont="1" applyBorder="1"/>
    <xf numFmtId="3" fontId="0" fillId="0" borderId="1" xfId="0" applyNumberFormat="1" applyBorder="1"/>
    <xf numFmtId="0" fontId="3" fillId="0" borderId="0" xfId="0" applyFont="1"/>
    <xf numFmtId="165" fontId="3" fillId="0" borderId="1" xfId="0" applyNumberFormat="1" applyFont="1" applyBorder="1"/>
    <xf numFmtId="165" fontId="0" fillId="0" borderId="1" xfId="0" applyNumberFormat="1" applyBorder="1"/>
    <xf numFmtId="180" fontId="3" fillId="0" borderId="30" xfId="0" applyNumberFormat="1" applyFont="1" applyBorder="1" applyAlignment="1">
      <alignment horizontal="center"/>
    </xf>
    <xf numFmtId="180" fontId="3" fillId="0" borderId="38" xfId="0" applyNumberFormat="1" applyFont="1" applyBorder="1" applyAlignment="1">
      <alignment horizontal="center"/>
    </xf>
    <xf numFmtId="180" fontId="3" fillId="0" borderId="3" xfId="0" applyNumberFormat="1" applyFont="1" applyBorder="1" applyAlignment="1">
      <alignment horizontal="center"/>
    </xf>
    <xf numFmtId="180" fontId="0" fillId="0" borderId="30" xfId="0" applyNumberFormat="1" applyBorder="1" applyAlignment="1">
      <alignment horizontal="center"/>
    </xf>
    <xf numFmtId="180" fontId="0" fillId="0" borderId="3" xfId="0" applyNumberFormat="1" applyBorder="1" applyAlignment="1">
      <alignment horizontal="center"/>
    </xf>
    <xf numFmtId="180" fontId="3" fillId="0" borderId="1" xfId="0" applyNumberFormat="1" applyFont="1" applyBorder="1"/>
    <xf numFmtId="180" fontId="0" fillId="0" borderId="1" xfId="0" applyNumberFormat="1" applyBorder="1"/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justify" vertical="top" wrapText="1"/>
    </xf>
    <xf numFmtId="180" fontId="0" fillId="0" borderId="0" xfId="0" applyNumberFormat="1"/>
    <xf numFmtId="4" fontId="0" fillId="0" borderId="0" xfId="0" applyNumberFormat="1" applyAlignment="1">
      <alignment horizontal="right"/>
    </xf>
    <xf numFmtId="9" fontId="0" fillId="0" borderId="0" xfId="3" applyFont="1" applyBorder="1"/>
    <xf numFmtId="164" fontId="0" fillId="0" borderId="0" xfId="0" applyNumberFormat="1"/>
    <xf numFmtId="0" fontId="0" fillId="0" borderId="37" xfId="0" applyBorder="1"/>
    <xf numFmtId="165" fontId="3" fillId="3" borderId="1" xfId="0" applyNumberFormat="1" applyFont="1" applyFill="1" applyBorder="1"/>
    <xf numFmtId="171" fontId="3" fillId="3" borderId="0" xfId="3" applyNumberFormat="1" applyFont="1" applyFill="1"/>
    <xf numFmtId="177" fontId="3" fillId="3" borderId="1" xfId="0" applyNumberFormat="1" applyFont="1" applyFill="1" applyBorder="1"/>
    <xf numFmtId="1" fontId="3" fillId="3" borderId="1" xfId="0" applyNumberFormat="1" applyFont="1" applyFill="1" applyBorder="1"/>
    <xf numFmtId="0" fontId="3" fillId="0" borderId="0" xfId="0" applyFont="1" applyAlignment="1">
      <alignment horizontal="left" indent="1"/>
    </xf>
    <xf numFmtId="0" fontId="2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81" fontId="3" fillId="6" borderId="1" xfId="0" applyNumberFormat="1" applyFont="1" applyFill="1" applyBorder="1"/>
    <xf numFmtId="165" fontId="3" fillId="6" borderId="1" xfId="0" applyNumberFormat="1" applyFont="1" applyFill="1" applyBorder="1"/>
    <xf numFmtId="3" fontId="3" fillId="6" borderId="1" xfId="0" applyNumberFormat="1" applyFont="1" applyFill="1" applyBorder="1"/>
    <xf numFmtId="0" fontId="3" fillId="6" borderId="1" xfId="0" applyFont="1" applyFill="1" applyBorder="1"/>
    <xf numFmtId="0" fontId="3" fillId="0" borderId="31" xfId="0" applyFont="1" applyBorder="1"/>
    <xf numFmtId="164" fontId="3" fillId="0" borderId="1" xfId="0" applyNumberFormat="1" applyFont="1" applyBorder="1"/>
    <xf numFmtId="10" fontId="11" fillId="6" borderId="0" xfId="0" applyNumberFormat="1" applyFont="1" applyFill="1" applyAlignment="1">
      <alignment wrapText="1"/>
    </xf>
    <xf numFmtId="171" fontId="11" fillId="0" borderId="0" xfId="0" applyNumberFormat="1" applyFont="1" applyAlignment="1">
      <alignment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0FF00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'Grafica flujo de efectivo'!$K$5</c:f>
              <c:strCache>
                <c:ptCount val="1"/>
                <c:pt idx="0">
                  <c:v>PC - Línea Base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'Grafica flujo de efectivo'!$H$7:$H$26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'Grafica flujo de efectivo'!$K$7:$K$26</c:f>
              <c:numCache>
                <c:formatCode>_("$"* #,##0.00_);_("$"* \(#,##0.00\);_("$"* "-"??_);_(@_)</c:formatCode>
                <c:ptCount val="20"/>
                <c:pt idx="0">
                  <c:v>-905408.21875</c:v>
                </c:pt>
                <c:pt idx="1">
                  <c:v>-737022.69977678568</c:v>
                </c:pt>
                <c:pt idx="2">
                  <c:v>-586678.48640784435</c:v>
                </c:pt>
                <c:pt idx="3">
                  <c:v>-452442.58161414677</c:v>
                </c:pt>
                <c:pt idx="4">
                  <c:v>-332589.09519120248</c:v>
                </c:pt>
                <c:pt idx="5">
                  <c:v>-225577.0537421451</c:v>
                </c:pt>
                <c:pt idx="6">
                  <c:v>-130030.5881626296</c:v>
                </c:pt>
                <c:pt idx="7">
                  <c:v>-44721.243895205058</c:v>
                </c:pt>
                <c:pt idx="8">
                  <c:v>31447.813486423984</c:v>
                </c:pt>
                <c:pt idx="9">
                  <c:v>99455.900434307056</c:v>
                </c:pt>
                <c:pt idx="10">
                  <c:v>160177.40663777408</c:v>
                </c:pt>
                <c:pt idx="11">
                  <c:v>214393.03717658392</c:v>
                </c:pt>
                <c:pt idx="12">
                  <c:v>262799.85015766416</c:v>
                </c:pt>
                <c:pt idx="13">
                  <c:v>306020.2188907715</c:v>
                </c:pt>
                <c:pt idx="14">
                  <c:v>344609.83383104589</c:v>
                </c:pt>
                <c:pt idx="15">
                  <c:v>379064.84717057657</c:v>
                </c:pt>
                <c:pt idx="16">
                  <c:v>409828.2519380147</c:v>
                </c:pt>
                <c:pt idx="17">
                  <c:v>437295.57762322732</c:v>
                </c:pt>
                <c:pt idx="18">
                  <c:v>461819.97555645288</c:v>
                </c:pt>
                <c:pt idx="19">
                  <c:v>483716.75942540425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5B-4E44-941E-C3B525C074F8}"/>
            </c:ext>
          </c:extLst>
        </c:ser>
        <c:ser>
          <c:idx val="1"/>
          <c:order val="1"/>
          <c:tx>
            <c:strRef>
              <c:f>'Grafica flujo de efectivo'!$J$5</c:f>
              <c:strCache>
                <c:ptCount val="1"/>
                <c:pt idx="0">
                  <c:v>SSPi Normal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'Grafica flujo de efectivo'!$H$7:$H$26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'Grafica flujo de efectivo'!$J$7:$J$26</c:f>
              <c:numCache>
                <c:formatCode>_("$"* #,##0.00_);_("$"* \(#,##0.00\);_("$"* "-"??_);_(@_)</c:formatCode>
                <c:ptCount val="20"/>
                <c:pt idx="0">
                  <c:v>-3166310.4676653272</c:v>
                </c:pt>
                <c:pt idx="1">
                  <c:v>-2505873.385223655</c:v>
                </c:pt>
                <c:pt idx="2">
                  <c:v>-1916197.4187578764</c:v>
                </c:pt>
                <c:pt idx="3">
                  <c:v>-1389701.0201277169</c:v>
                </c:pt>
                <c:pt idx="4">
                  <c:v>-919614.94992221741</c:v>
                </c:pt>
                <c:pt idx="5">
                  <c:v>-499895.2443815929</c:v>
                </c:pt>
                <c:pt idx="6">
                  <c:v>-125145.50729174964</c:v>
                </c:pt>
                <c:pt idx="7">
                  <c:v>209452.47225275327</c:v>
                </c:pt>
                <c:pt idx="8">
                  <c:v>508200.66827463079</c:v>
                </c:pt>
                <c:pt idx="9">
                  <c:v>774940.12900845008</c:v>
                </c:pt>
                <c:pt idx="10">
                  <c:v>1013100.3618065029</c:v>
                </c:pt>
                <c:pt idx="11">
                  <c:v>1225743.4268047644</c:v>
                </c:pt>
                <c:pt idx="12">
                  <c:v>1415603.3062674978</c:v>
                </c:pt>
                <c:pt idx="13">
                  <c:v>1585121.0557877955</c:v>
                </c:pt>
                <c:pt idx="14">
                  <c:v>1736476.1892880611</c:v>
                </c:pt>
                <c:pt idx="15">
                  <c:v>1871614.7013418698</c:v>
                </c:pt>
                <c:pt idx="16">
                  <c:v>1992274.087104199</c:v>
                </c:pt>
                <c:pt idx="17">
                  <c:v>2100005.68153485</c:v>
                </c:pt>
                <c:pt idx="18">
                  <c:v>2196194.6051336457</c:v>
                </c:pt>
                <c:pt idx="19">
                  <c:v>2282077.5726325703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5B-4E44-941E-C3B525C074F8}"/>
            </c:ext>
          </c:extLst>
        </c:ser>
        <c:ser>
          <c:idx val="0"/>
          <c:order val="2"/>
          <c:tx>
            <c:strRef>
              <c:f>'Grafica flujo de efectivo'!$I$5</c:f>
              <c:strCache>
                <c:ptCount val="1"/>
                <c:pt idx="0">
                  <c:v>SSPi con sequía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'Grafica flujo de efectivo'!$H$7:$H$26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'Grafica flujo de efectivo'!$I$7:$I$26</c:f>
              <c:numCache>
                <c:formatCode>_("$"* #,##0.00_);_("$"* \(#,##0.00\);_("$"* "-"??_);_(@_)</c:formatCode>
                <c:ptCount val="20"/>
                <c:pt idx="0">
                  <c:v>-3254502.1428571427</c:v>
                </c:pt>
                <c:pt idx="1">
                  <c:v>-2672807.6275510201</c:v>
                </c:pt>
                <c:pt idx="2">
                  <c:v>-2153437.5245991251</c:v>
                </c:pt>
                <c:pt idx="3">
                  <c:v>-1689714.218392076</c:v>
                </c:pt>
                <c:pt idx="4">
                  <c:v>-1275675.5521357823</c:v>
                </c:pt>
                <c:pt idx="5">
                  <c:v>-905998.17154980579</c:v>
                </c:pt>
                <c:pt idx="6">
                  <c:v>-575929.0817408982</c:v>
                </c:pt>
                <c:pt idx="7">
                  <c:v>-281224.53726865927</c:v>
                </c:pt>
                <c:pt idx="8">
                  <c:v>-18095.479704160301</c:v>
                </c:pt>
                <c:pt idx="9">
                  <c:v>216841.1788355709</c:v>
                </c:pt>
                <c:pt idx="10">
                  <c:v>426606.05253175949</c:v>
                </c:pt>
                <c:pt idx="11">
                  <c:v>613896.11833192781</c:v>
                </c:pt>
                <c:pt idx="12">
                  <c:v>781119.39136779238</c:v>
                </c:pt>
                <c:pt idx="13">
                  <c:v>930425.8851498143</c:v>
                </c:pt>
                <c:pt idx="14">
                  <c:v>1063735.254598048</c:v>
                </c:pt>
                <c:pt idx="15">
                  <c:v>1182761.4773196853</c:v>
                </c:pt>
                <c:pt idx="16">
                  <c:v>1289034.8904640044</c:v>
                </c:pt>
                <c:pt idx="17">
                  <c:v>1383921.8664857177</c:v>
                </c:pt>
                <c:pt idx="18">
                  <c:v>1468642.3807908189</c:v>
                </c:pt>
                <c:pt idx="19">
                  <c:v>1544285.6971346594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5B-4E44-941E-C3B525C07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032816"/>
        <c:axId val="791029536"/>
      </c:scatterChart>
      <c:valAx>
        <c:axId val="79103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1029536"/>
        <c:crosses val="autoZero"/>
        <c:crossBetween val="midCat"/>
      </c:valAx>
      <c:valAx>
        <c:axId val="79102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1032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'Grafica flujo de efectivo'!$K$5</c:f>
              <c:strCache>
                <c:ptCount val="1"/>
                <c:pt idx="0">
                  <c:v>PC - Línea Base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'Grafica flujo de efectivo'!$H$7:$H$26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'Grafica flujo de efectivo'!$K$7:$K$26</c:f>
              <c:numCache>
                <c:formatCode>_("$"* #,##0.00_);_("$"* \(#,##0.00\);_("$"* "-"??_);_(@_)</c:formatCode>
                <c:ptCount val="20"/>
                <c:pt idx="0">
                  <c:v>-905408.21875</c:v>
                </c:pt>
                <c:pt idx="1">
                  <c:v>-737022.69977678568</c:v>
                </c:pt>
                <c:pt idx="2">
                  <c:v>-586678.48640784435</c:v>
                </c:pt>
                <c:pt idx="3">
                  <c:v>-452442.58161414677</c:v>
                </c:pt>
                <c:pt idx="4">
                  <c:v>-332589.09519120248</c:v>
                </c:pt>
                <c:pt idx="5">
                  <c:v>-225577.0537421451</c:v>
                </c:pt>
                <c:pt idx="6">
                  <c:v>-130030.5881626296</c:v>
                </c:pt>
                <c:pt idx="7">
                  <c:v>-44721.243895205058</c:v>
                </c:pt>
                <c:pt idx="8">
                  <c:v>31447.813486423984</c:v>
                </c:pt>
                <c:pt idx="9">
                  <c:v>99455.900434307056</c:v>
                </c:pt>
                <c:pt idx="10">
                  <c:v>160177.40663777408</c:v>
                </c:pt>
                <c:pt idx="11">
                  <c:v>214393.03717658392</c:v>
                </c:pt>
                <c:pt idx="12">
                  <c:v>262799.85015766416</c:v>
                </c:pt>
                <c:pt idx="13">
                  <c:v>306020.2188907715</c:v>
                </c:pt>
                <c:pt idx="14">
                  <c:v>344609.83383104589</c:v>
                </c:pt>
                <c:pt idx="15">
                  <c:v>379064.84717057657</c:v>
                </c:pt>
                <c:pt idx="16">
                  <c:v>409828.2519380147</c:v>
                </c:pt>
                <c:pt idx="17">
                  <c:v>437295.57762322732</c:v>
                </c:pt>
                <c:pt idx="18">
                  <c:v>461819.97555645288</c:v>
                </c:pt>
                <c:pt idx="19">
                  <c:v>483716.75942540425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FB-4098-870A-9597B6C2B609}"/>
            </c:ext>
          </c:extLst>
        </c:ser>
        <c:ser>
          <c:idx val="1"/>
          <c:order val="1"/>
          <c:tx>
            <c:strRef>
              <c:f>'Grafica flujo de efectivo'!$J$5</c:f>
              <c:strCache>
                <c:ptCount val="1"/>
                <c:pt idx="0">
                  <c:v>SSPi Normal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'Grafica flujo de efectivo'!$H$7:$H$26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'Grafica flujo de efectivo'!$J$7:$J$26</c:f>
              <c:numCache>
                <c:formatCode>_("$"* #,##0.00_);_("$"* \(#,##0.00\);_("$"* "-"??_);_(@_)</c:formatCode>
                <c:ptCount val="20"/>
                <c:pt idx="0">
                  <c:v>-3166310.4676653272</c:v>
                </c:pt>
                <c:pt idx="1">
                  <c:v>-2505873.385223655</c:v>
                </c:pt>
                <c:pt idx="2">
                  <c:v>-1916197.4187578764</c:v>
                </c:pt>
                <c:pt idx="3">
                  <c:v>-1389701.0201277169</c:v>
                </c:pt>
                <c:pt idx="4">
                  <c:v>-919614.94992221741</c:v>
                </c:pt>
                <c:pt idx="5">
                  <c:v>-499895.2443815929</c:v>
                </c:pt>
                <c:pt idx="6">
                  <c:v>-125145.50729174964</c:v>
                </c:pt>
                <c:pt idx="7">
                  <c:v>209452.47225275327</c:v>
                </c:pt>
                <c:pt idx="8">
                  <c:v>508200.66827463079</c:v>
                </c:pt>
                <c:pt idx="9">
                  <c:v>774940.12900845008</c:v>
                </c:pt>
                <c:pt idx="10">
                  <c:v>1013100.3618065029</c:v>
                </c:pt>
                <c:pt idx="11">
                  <c:v>1225743.4268047644</c:v>
                </c:pt>
                <c:pt idx="12">
                  <c:v>1415603.3062674978</c:v>
                </c:pt>
                <c:pt idx="13">
                  <c:v>1585121.0557877955</c:v>
                </c:pt>
                <c:pt idx="14">
                  <c:v>1736476.1892880611</c:v>
                </c:pt>
                <c:pt idx="15">
                  <c:v>1871614.7013418698</c:v>
                </c:pt>
                <c:pt idx="16">
                  <c:v>1992274.087104199</c:v>
                </c:pt>
                <c:pt idx="17">
                  <c:v>2100005.68153485</c:v>
                </c:pt>
                <c:pt idx="18">
                  <c:v>2196194.6051336457</c:v>
                </c:pt>
                <c:pt idx="19">
                  <c:v>2282077.5726325703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FB-4098-870A-9597B6C2B609}"/>
            </c:ext>
          </c:extLst>
        </c:ser>
        <c:ser>
          <c:idx val="0"/>
          <c:order val="2"/>
          <c:tx>
            <c:strRef>
              <c:f>'Grafica flujo de efectivo'!$I$5</c:f>
              <c:strCache>
                <c:ptCount val="1"/>
                <c:pt idx="0">
                  <c:v>SSPi con sequía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'Grafica flujo de efectivo'!$H$7:$H$26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'Grafica flujo de efectivo'!$I$7:$I$26</c:f>
              <c:numCache>
                <c:formatCode>_("$"* #,##0.00_);_("$"* \(#,##0.00\);_("$"* "-"??_);_(@_)</c:formatCode>
                <c:ptCount val="20"/>
                <c:pt idx="0">
                  <c:v>-3254502.1428571427</c:v>
                </c:pt>
                <c:pt idx="1">
                  <c:v>-2672807.6275510201</c:v>
                </c:pt>
                <c:pt idx="2">
                  <c:v>-2153437.5245991251</c:v>
                </c:pt>
                <c:pt idx="3">
                  <c:v>-1689714.218392076</c:v>
                </c:pt>
                <c:pt idx="4">
                  <c:v>-1275675.5521357823</c:v>
                </c:pt>
                <c:pt idx="5">
                  <c:v>-905998.17154980579</c:v>
                </c:pt>
                <c:pt idx="6">
                  <c:v>-575929.0817408982</c:v>
                </c:pt>
                <c:pt idx="7">
                  <c:v>-281224.53726865927</c:v>
                </c:pt>
                <c:pt idx="8">
                  <c:v>-18095.479704160301</c:v>
                </c:pt>
                <c:pt idx="9">
                  <c:v>216841.1788355709</c:v>
                </c:pt>
                <c:pt idx="10">
                  <c:v>426606.05253175949</c:v>
                </c:pt>
                <c:pt idx="11">
                  <c:v>613896.11833192781</c:v>
                </c:pt>
                <c:pt idx="12">
                  <c:v>781119.39136779238</c:v>
                </c:pt>
                <c:pt idx="13">
                  <c:v>930425.8851498143</c:v>
                </c:pt>
                <c:pt idx="14">
                  <c:v>1063735.254598048</c:v>
                </c:pt>
                <c:pt idx="15">
                  <c:v>1182761.4773196853</c:v>
                </c:pt>
                <c:pt idx="16">
                  <c:v>1289034.8904640044</c:v>
                </c:pt>
                <c:pt idx="17">
                  <c:v>1383921.8664857177</c:v>
                </c:pt>
                <c:pt idx="18">
                  <c:v>1468642.3807908189</c:v>
                </c:pt>
                <c:pt idx="19">
                  <c:v>1544285.6971346594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FB-4098-870A-9597B6C2B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032816"/>
        <c:axId val="791029536"/>
      </c:scatterChart>
      <c:valAx>
        <c:axId val="79103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1029536"/>
        <c:crosses val="autoZero"/>
        <c:crossBetween val="midCat"/>
      </c:valAx>
      <c:valAx>
        <c:axId val="79102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1032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3819444444445"/>
          <c:y val="3.6233333333333333E-2"/>
          <c:w val="0.78935902777777778"/>
          <c:h val="0.72813009259259254"/>
        </c:manualLayout>
      </c:layout>
      <c:barChart>
        <c:barDir val="col"/>
        <c:grouping val="clustered"/>
        <c:varyColors val="0"/>
        <c:ser>
          <c:idx val="5"/>
          <c:order val="3"/>
          <c:tx>
            <c:strRef>
              <c:f>'Grafica flujo de efectivo'!$F$32</c:f>
              <c:strCache>
                <c:ptCount val="1"/>
                <c:pt idx="0">
                  <c:v>PC-LB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'Grafica flujo de efectivo'!$C$33:$C$53</c:f>
              <c:numCache>
                <c:formatCode>General</c:formatCode>
                <c:ptCount val="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'Grafica flujo de efectivo'!$F$33:$F$53</c:f>
              <c:numCache>
                <c:formatCode>_("$"* #,##0.00_);_("$"* \(#,##0.00\);_("$"* "-"??_);_(@_)</c:formatCode>
                <c:ptCount val="21"/>
                <c:pt idx="0">
                  <c:v>-54407.559368394875</c:v>
                </c:pt>
                <c:pt idx="1">
                  <c:v>10504.677110530898</c:v>
                </c:pt>
                <c:pt idx="2">
                  <c:v>10504.677110530898</c:v>
                </c:pt>
                <c:pt idx="3">
                  <c:v>10504.677110530898</c:v>
                </c:pt>
                <c:pt idx="4">
                  <c:v>10504.677110530898</c:v>
                </c:pt>
                <c:pt idx="5">
                  <c:v>10504.677110530898</c:v>
                </c:pt>
                <c:pt idx="6">
                  <c:v>10504.677110530898</c:v>
                </c:pt>
                <c:pt idx="7">
                  <c:v>10504.677110530898</c:v>
                </c:pt>
                <c:pt idx="8">
                  <c:v>10504.677110530898</c:v>
                </c:pt>
                <c:pt idx="9">
                  <c:v>10504.677110530898</c:v>
                </c:pt>
                <c:pt idx="10">
                  <c:v>10504.677110530898</c:v>
                </c:pt>
                <c:pt idx="11">
                  <c:v>10504.677110530898</c:v>
                </c:pt>
                <c:pt idx="12">
                  <c:v>10504.677110530898</c:v>
                </c:pt>
                <c:pt idx="13">
                  <c:v>10504.677110530898</c:v>
                </c:pt>
                <c:pt idx="14">
                  <c:v>10504.677110530898</c:v>
                </c:pt>
                <c:pt idx="15">
                  <c:v>10504.677110530898</c:v>
                </c:pt>
                <c:pt idx="16">
                  <c:v>10504.677110530898</c:v>
                </c:pt>
                <c:pt idx="17">
                  <c:v>10504.677110530898</c:v>
                </c:pt>
                <c:pt idx="18">
                  <c:v>10504.677110530898</c:v>
                </c:pt>
                <c:pt idx="19">
                  <c:v>10504.677110530898</c:v>
                </c:pt>
                <c:pt idx="20">
                  <c:v>10504.677110530898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E6-47FD-9237-C2F67766C16E}"/>
            </c:ext>
          </c:extLst>
        </c:ser>
        <c:ser>
          <c:idx val="4"/>
          <c:order val="4"/>
          <c:tx>
            <c:strRef>
              <c:f>'Grafica flujo de efectivo'!$E$32</c:f>
              <c:strCache>
                <c:ptCount val="1"/>
                <c:pt idx="0">
                  <c:v>SSPi(1)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'Grafica flujo de efectivo'!$C$33:$C$53</c:f>
              <c:numCache>
                <c:formatCode>General</c:formatCode>
                <c:ptCount val="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'Grafica flujo de efectivo'!$E$33:$E$53</c:f>
              <c:numCache>
                <c:formatCode>_("$"* #,##0.00_);_("$"* \(#,##0.00\);_("$"* "-"??_);_(@_)</c:formatCode>
                <c:ptCount val="21"/>
                <c:pt idx="0">
                  <c:v>-194255.87467362924</c:v>
                </c:pt>
                <c:pt idx="1">
                  <c:v>41201.157588702408</c:v>
                </c:pt>
                <c:pt idx="2">
                  <c:v>41201.157588702408</c:v>
                </c:pt>
                <c:pt idx="3">
                  <c:v>41201.157588702408</c:v>
                </c:pt>
                <c:pt idx="4">
                  <c:v>41201.157588702408</c:v>
                </c:pt>
                <c:pt idx="5">
                  <c:v>41201.157588702408</c:v>
                </c:pt>
                <c:pt idx="6">
                  <c:v>41201.157588702408</c:v>
                </c:pt>
                <c:pt idx="7">
                  <c:v>41201.157588702408</c:v>
                </c:pt>
                <c:pt idx="8">
                  <c:v>41201.157588702408</c:v>
                </c:pt>
                <c:pt idx="9">
                  <c:v>41201.157588702408</c:v>
                </c:pt>
                <c:pt idx="10">
                  <c:v>41201.157588702408</c:v>
                </c:pt>
                <c:pt idx="11">
                  <c:v>41201.157588702408</c:v>
                </c:pt>
                <c:pt idx="12">
                  <c:v>41201.157588702408</c:v>
                </c:pt>
                <c:pt idx="13">
                  <c:v>41201.157588702408</c:v>
                </c:pt>
                <c:pt idx="14">
                  <c:v>41201.157588702408</c:v>
                </c:pt>
                <c:pt idx="15">
                  <c:v>41201.157588702408</c:v>
                </c:pt>
                <c:pt idx="16">
                  <c:v>41201.157588702408</c:v>
                </c:pt>
                <c:pt idx="17">
                  <c:v>41201.157588702408</c:v>
                </c:pt>
                <c:pt idx="18">
                  <c:v>41201.157588702408</c:v>
                </c:pt>
                <c:pt idx="19">
                  <c:v>41201.157588702408</c:v>
                </c:pt>
                <c:pt idx="20">
                  <c:v>41201.157588702408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E6-47FD-9237-C2F67766C16E}"/>
            </c:ext>
          </c:extLst>
        </c:ser>
        <c:ser>
          <c:idx val="3"/>
          <c:order val="5"/>
          <c:tx>
            <c:strRef>
              <c:f>'Grafica flujo de efectivo'!$D$32</c:f>
              <c:strCache>
                <c:ptCount val="1"/>
                <c:pt idx="0">
                  <c:v>SSPi(2)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'Grafica flujo de efectivo'!$C$33:$C$53</c:f>
              <c:numCache>
                <c:formatCode>General</c:formatCode>
                <c:ptCount val="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'Grafica flujo de efectivo'!$D$33:$D$53</c:f>
              <c:numCache>
                <c:formatCode>_("$"* #,##0.00_);_("$"* \(#,##0.00\);_("$"* "-"??_);_(@_)</c:formatCode>
                <c:ptCount val="21"/>
                <c:pt idx="0">
                  <c:v>-194255.87467362924</c:v>
                </c:pt>
                <c:pt idx="1">
                  <c:v>36288.827551908493</c:v>
                </c:pt>
                <c:pt idx="2">
                  <c:v>36288.827551908493</c:v>
                </c:pt>
                <c:pt idx="3">
                  <c:v>36288.827551908493</c:v>
                </c:pt>
                <c:pt idx="4">
                  <c:v>36288.827551908493</c:v>
                </c:pt>
                <c:pt idx="5">
                  <c:v>36288.827551908493</c:v>
                </c:pt>
                <c:pt idx="6">
                  <c:v>36288.827551908493</c:v>
                </c:pt>
                <c:pt idx="7">
                  <c:v>36288.827551908493</c:v>
                </c:pt>
                <c:pt idx="8">
                  <c:v>36288.827551908493</c:v>
                </c:pt>
                <c:pt idx="9">
                  <c:v>36288.827551908493</c:v>
                </c:pt>
                <c:pt idx="10">
                  <c:v>36288.827551908493</c:v>
                </c:pt>
                <c:pt idx="11">
                  <c:v>36288.827551908493</c:v>
                </c:pt>
                <c:pt idx="12">
                  <c:v>36288.827551908493</c:v>
                </c:pt>
                <c:pt idx="13">
                  <c:v>36288.827551908493</c:v>
                </c:pt>
                <c:pt idx="14">
                  <c:v>36288.827551908493</c:v>
                </c:pt>
                <c:pt idx="15">
                  <c:v>36288.827551908493</c:v>
                </c:pt>
                <c:pt idx="16">
                  <c:v>36288.827551908493</c:v>
                </c:pt>
                <c:pt idx="17">
                  <c:v>36288.827551908493</c:v>
                </c:pt>
                <c:pt idx="18">
                  <c:v>36288.827551908493</c:v>
                </c:pt>
                <c:pt idx="19">
                  <c:v>36288.827551908493</c:v>
                </c:pt>
                <c:pt idx="20">
                  <c:v>36288.827551908493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E6-47FD-9237-C2F67766C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032816"/>
        <c:axId val="791029536"/>
      </c:barChart>
      <c:scatterChart>
        <c:scatterStyle val="smoothMarker"/>
        <c:varyColors val="0"/>
        <c:ser>
          <c:idx val="2"/>
          <c:order val="0"/>
          <c:tx>
            <c:strRef>
              <c:f>'Grafica flujo de efectivo'!$K$32</c:f>
              <c:strCache>
                <c:ptCount val="1"/>
                <c:pt idx="0">
                  <c:v>PC-LB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'Grafica flujo de efectivo'!$B$33:$B$53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'Grafica flujo de efectivo'!$K$33:$K$53</c:f>
              <c:numCache>
                <c:formatCode>_("$"* #,##0.00_);_("$"* \(#,##0.00\);_("$"* "-"??_);_(@_)</c:formatCode>
                <c:ptCount val="21"/>
                <c:pt idx="0">
                  <c:v>-54407.559368394875</c:v>
                </c:pt>
                <c:pt idx="1">
                  <c:v>-43902.882257863981</c:v>
                </c:pt>
                <c:pt idx="2">
                  <c:v>-33398.205147333079</c:v>
                </c:pt>
                <c:pt idx="3">
                  <c:v>-22893.528036802181</c:v>
                </c:pt>
                <c:pt idx="4">
                  <c:v>-12388.850926271283</c:v>
                </c:pt>
                <c:pt idx="5">
                  <c:v>-1884.1738157403852</c:v>
                </c:pt>
                <c:pt idx="6">
                  <c:v>8620.5032947905129</c:v>
                </c:pt>
                <c:pt idx="7">
                  <c:v>19125.180405321411</c:v>
                </c:pt>
                <c:pt idx="8">
                  <c:v>29629.857515852309</c:v>
                </c:pt>
                <c:pt idx="9">
                  <c:v>40134.534626383203</c:v>
                </c:pt>
                <c:pt idx="10">
                  <c:v>50639.211736914105</c:v>
                </c:pt>
                <c:pt idx="11">
                  <c:v>61143.888847445007</c:v>
                </c:pt>
                <c:pt idx="12">
                  <c:v>71648.565957975909</c:v>
                </c:pt>
                <c:pt idx="13">
                  <c:v>82153.24306850681</c:v>
                </c:pt>
                <c:pt idx="14">
                  <c:v>92657.920179037712</c:v>
                </c:pt>
                <c:pt idx="15">
                  <c:v>103162.59728956861</c:v>
                </c:pt>
                <c:pt idx="16">
                  <c:v>113667.27440009952</c:v>
                </c:pt>
                <c:pt idx="17">
                  <c:v>124171.95151063042</c:v>
                </c:pt>
                <c:pt idx="18">
                  <c:v>134676.6286211613</c:v>
                </c:pt>
                <c:pt idx="19">
                  <c:v>145181.30573169221</c:v>
                </c:pt>
                <c:pt idx="20">
                  <c:v>155685.98284222311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E6-47FD-9237-C2F67766C16E}"/>
            </c:ext>
          </c:extLst>
        </c:ser>
        <c:ser>
          <c:idx val="1"/>
          <c:order val="1"/>
          <c:tx>
            <c:strRef>
              <c:f>'Grafica flujo de efectivo'!$J$32</c:f>
              <c:strCache>
                <c:ptCount val="1"/>
                <c:pt idx="0">
                  <c:v>SSPi(1)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'Grafica flujo de efectivo'!$B$33:$B$53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'Grafica flujo de efectivo'!$J$33:$J$53</c:f>
              <c:numCache>
                <c:formatCode>_("$"* #,##0.00_);_("$"* \(#,##0.00\);_("$"* "-"??_);_(@_)</c:formatCode>
                <c:ptCount val="21"/>
                <c:pt idx="0">
                  <c:v>-194255.87467362924</c:v>
                </c:pt>
                <c:pt idx="1">
                  <c:v>-153054.71708492684</c:v>
                </c:pt>
                <c:pt idx="2">
                  <c:v>-111853.55949622444</c:v>
                </c:pt>
                <c:pt idx="3">
                  <c:v>-70652.401907522028</c:v>
                </c:pt>
                <c:pt idx="4">
                  <c:v>-29451.244318819619</c:v>
                </c:pt>
                <c:pt idx="5">
                  <c:v>11749.913269882789</c:v>
                </c:pt>
                <c:pt idx="6">
                  <c:v>52951.070858585197</c:v>
                </c:pt>
                <c:pt idx="7">
                  <c:v>94152.228447287605</c:v>
                </c:pt>
                <c:pt idx="8">
                  <c:v>135353.38603599003</c:v>
                </c:pt>
                <c:pt idx="9">
                  <c:v>176554.54362469242</c:v>
                </c:pt>
                <c:pt idx="10">
                  <c:v>217755.70121339482</c:v>
                </c:pt>
                <c:pt idx="11">
                  <c:v>258956.85880209721</c:v>
                </c:pt>
                <c:pt idx="12">
                  <c:v>300158.0163907996</c:v>
                </c:pt>
                <c:pt idx="13">
                  <c:v>341359.173979502</c:v>
                </c:pt>
                <c:pt idx="14">
                  <c:v>382560.33156820439</c:v>
                </c:pt>
                <c:pt idx="15">
                  <c:v>423761.48915690678</c:v>
                </c:pt>
                <c:pt idx="16">
                  <c:v>464962.64674560918</c:v>
                </c:pt>
                <c:pt idx="17">
                  <c:v>506163.80433431157</c:v>
                </c:pt>
                <c:pt idx="18">
                  <c:v>547364.96192301402</c:v>
                </c:pt>
                <c:pt idx="19">
                  <c:v>588566.11951171642</c:v>
                </c:pt>
                <c:pt idx="20">
                  <c:v>629767.27710041881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E6-47FD-9237-C2F67766C16E}"/>
            </c:ext>
          </c:extLst>
        </c:ser>
        <c:ser>
          <c:idx val="0"/>
          <c:order val="2"/>
          <c:tx>
            <c:strRef>
              <c:f>'Grafica flujo de efectivo'!$I$32</c:f>
              <c:strCache>
                <c:ptCount val="1"/>
                <c:pt idx="0">
                  <c:v>SSPi(2)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'Grafica flujo de efectivo'!$B$33:$B$53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'Grafica flujo de efectivo'!$I$33:$I$53</c:f>
              <c:numCache>
                <c:formatCode>_("$"* #,##0.00_);_("$"* \(#,##0.00\);_("$"* "-"??_);_(@_)</c:formatCode>
                <c:ptCount val="21"/>
                <c:pt idx="0">
                  <c:v>-194255.87467362924</c:v>
                </c:pt>
                <c:pt idx="1">
                  <c:v>-157967.04712172074</c:v>
                </c:pt>
                <c:pt idx="2">
                  <c:v>-121678.21956981224</c:v>
                </c:pt>
                <c:pt idx="3">
                  <c:v>-85389.392017903738</c:v>
                </c:pt>
                <c:pt idx="4">
                  <c:v>-49100.564465995245</c:v>
                </c:pt>
                <c:pt idx="5">
                  <c:v>-12811.736914086752</c:v>
                </c:pt>
                <c:pt idx="6">
                  <c:v>23477.090637821741</c:v>
                </c:pt>
                <c:pt idx="7">
                  <c:v>59765.918189730233</c:v>
                </c:pt>
                <c:pt idx="8">
                  <c:v>96054.745741638733</c:v>
                </c:pt>
                <c:pt idx="9">
                  <c:v>132343.57329354723</c:v>
                </c:pt>
                <c:pt idx="10">
                  <c:v>168632.40084545573</c:v>
                </c:pt>
                <c:pt idx="11">
                  <c:v>204921.22839736423</c:v>
                </c:pt>
                <c:pt idx="12">
                  <c:v>241210.05594927273</c:v>
                </c:pt>
                <c:pt idx="13">
                  <c:v>277498.8835011812</c:v>
                </c:pt>
                <c:pt idx="14">
                  <c:v>313787.7110530897</c:v>
                </c:pt>
                <c:pt idx="15">
                  <c:v>350076.5386049982</c:v>
                </c:pt>
                <c:pt idx="16">
                  <c:v>386365.3661569067</c:v>
                </c:pt>
                <c:pt idx="17">
                  <c:v>422654.1937088152</c:v>
                </c:pt>
                <c:pt idx="18">
                  <c:v>458943.0212607237</c:v>
                </c:pt>
                <c:pt idx="19">
                  <c:v>495231.8488126322</c:v>
                </c:pt>
                <c:pt idx="20">
                  <c:v>531520.6763645407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E6-47FD-9237-C2F67766C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032816"/>
        <c:axId val="791029536"/>
      </c:scatterChart>
      <c:catAx>
        <c:axId val="79103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1029536"/>
        <c:crossesAt val="0"/>
        <c:auto val="1"/>
        <c:lblAlgn val="ctr"/>
        <c:lblOffset val="100"/>
        <c:noMultiLvlLbl val="0"/>
      </c:catAx>
      <c:valAx>
        <c:axId val="791029536"/>
        <c:scaling>
          <c:orientation val="minMax"/>
          <c:max val="700000"/>
          <c:min val="-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Flujo de efectivo (USD</a:t>
                </a:r>
                <a:r>
                  <a:rPr lang="es-MX" baseline="0"/>
                  <a:t> corrientes)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103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888888888888901E-2"/>
          <c:y val="0.84270949074074064"/>
          <c:w val="0.44844444444444442"/>
          <c:h val="0.11613310185185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85</xdr:row>
      <xdr:rowOff>95250</xdr:rowOff>
    </xdr:from>
    <xdr:to>
      <xdr:col>9</xdr:col>
      <xdr:colOff>457200</xdr:colOff>
      <xdr:row>99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F886E9-1209-4B8B-9237-CE79C8C74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0</xdr:rowOff>
    </xdr:from>
    <xdr:to>
      <xdr:col>18</xdr:col>
      <xdr:colOff>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A65526-35FB-4434-8B68-0DE7D3ECD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31</xdr:row>
      <xdr:rowOff>0</xdr:rowOff>
    </xdr:from>
    <xdr:to>
      <xdr:col>21</xdr:col>
      <xdr:colOff>342000</xdr:colOff>
      <xdr:row>53</xdr:row>
      <xdr:rowOff>129000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14C89C0-2B5D-45DC-9694-05A816D27C9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43</xdr:row>
      <xdr:rowOff>19050</xdr:rowOff>
    </xdr:from>
    <xdr:ext cx="3343714" cy="188000"/>
    <xdr:pic>
      <xdr:nvPicPr>
        <xdr:cNvPr id="2" name="Imagen 1">
          <a:extLst>
            <a:ext uri="{FF2B5EF4-FFF2-40B4-BE49-F238E27FC236}">
              <a16:creationId xmlns:a16="http://schemas.microsoft.com/office/drawing/2014/main" id="{33943F82-C615-43B4-B667-0FD1E00DC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9150" y="6715125"/>
          <a:ext cx="3343714" cy="188000"/>
        </a:xfrm>
        <a:prstGeom prst="rect">
          <a:avLst/>
        </a:prstGeom>
      </xdr:spPr>
    </xdr:pic>
    <xdr:clientData/>
  </xdr:oneCellAnchor>
  <xdr:oneCellAnchor>
    <xdr:from>
      <xdr:col>11</xdr:col>
      <xdr:colOff>28575</xdr:colOff>
      <xdr:row>44</xdr:row>
      <xdr:rowOff>0</xdr:rowOff>
    </xdr:from>
    <xdr:ext cx="8314765" cy="1558990"/>
    <xdr:pic>
      <xdr:nvPicPr>
        <xdr:cNvPr id="3" name="Imagen 2">
          <a:extLst>
            <a:ext uri="{FF2B5EF4-FFF2-40B4-BE49-F238E27FC236}">
              <a16:creationId xmlns:a16="http://schemas.microsoft.com/office/drawing/2014/main" id="{3FCB0F13-C0FB-4E98-B10C-B9E90FC77B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2564"/>
        <a:stretch/>
      </xdr:blipFill>
      <xdr:spPr>
        <a:xfrm>
          <a:off x="12258675" y="6886575"/>
          <a:ext cx="8314765" cy="15589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doi.org/10.1016/j.egyr.2019.11.15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MXP@V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462B-D87F-4A9E-8E5A-7BA14D16B85F}">
  <dimension ref="A1:J270"/>
  <sheetViews>
    <sheetView topLeftCell="A4" zoomScaleNormal="100" workbookViewId="0">
      <pane ySplit="1" topLeftCell="A83" activePane="bottomLeft" state="frozen"/>
      <selection activeCell="A4" sqref="A4"/>
      <selection pane="bottomLeft" activeCell="E112" sqref="E112"/>
    </sheetView>
  </sheetViews>
  <sheetFormatPr baseColWidth="10" defaultColWidth="11.42578125" defaultRowHeight="15"/>
  <cols>
    <col min="2" max="2" width="65" customWidth="1"/>
    <col min="3" max="3" width="22.140625" bestFit="1" customWidth="1"/>
    <col min="4" max="7" width="22.5703125" customWidth="1"/>
    <col min="8" max="8" width="19.28515625" customWidth="1"/>
    <col min="9" max="9" width="24.42578125" customWidth="1"/>
    <col min="11" max="11" width="48.7109375" customWidth="1"/>
    <col min="12" max="12" width="16" customWidth="1"/>
    <col min="13" max="13" width="18" customWidth="1"/>
  </cols>
  <sheetData>
    <row r="1" spans="1:9">
      <c r="B1" t="s">
        <v>205</v>
      </c>
    </row>
    <row r="3" spans="1:9">
      <c r="D3" t="s">
        <v>206</v>
      </c>
    </row>
    <row r="4" spans="1:9" ht="39" customHeight="1">
      <c r="B4" t="s">
        <v>0</v>
      </c>
      <c r="D4" s="301" t="s">
        <v>128</v>
      </c>
      <c r="E4" s="302" t="s">
        <v>144</v>
      </c>
      <c r="F4" s="301" t="s">
        <v>316</v>
      </c>
      <c r="H4" s="269" t="s">
        <v>315</v>
      </c>
      <c r="I4" s="268">
        <f>'Costo marginal de abatimiento'!G18</f>
        <v>-809.82749790707123</v>
      </c>
    </row>
    <row r="6" spans="1:9" ht="15.75" thickBot="1"/>
    <row r="7" spans="1:9">
      <c r="B7" s="149" t="s">
        <v>4</v>
      </c>
      <c r="C7" s="150" t="s">
        <v>114</v>
      </c>
      <c r="D7" s="159">
        <v>60</v>
      </c>
    </row>
    <row r="8" spans="1:9">
      <c r="B8" s="125" t="s">
        <v>5</v>
      </c>
      <c r="C8" s="3" t="s">
        <v>113</v>
      </c>
      <c r="D8" s="115">
        <v>2.06</v>
      </c>
    </row>
    <row r="9" spans="1:9">
      <c r="B9" s="125" t="s">
        <v>2</v>
      </c>
      <c r="C9" s="3" t="s">
        <v>53</v>
      </c>
      <c r="D9" s="127">
        <v>1495225.15</v>
      </c>
      <c r="E9" s="5"/>
      <c r="F9" s="5"/>
      <c r="G9" s="5"/>
    </row>
    <row r="10" spans="1:9">
      <c r="B10" s="125" t="s">
        <v>3</v>
      </c>
      <c r="C10" s="3" t="s">
        <v>53</v>
      </c>
      <c r="D10" s="127">
        <v>406042.43</v>
      </c>
      <c r="E10" s="5"/>
      <c r="F10" s="5"/>
      <c r="G10" s="5"/>
    </row>
    <row r="11" spans="1:9" ht="15.75" thickBot="1">
      <c r="B11" s="128" t="s">
        <v>6</v>
      </c>
      <c r="C11" s="117" t="s">
        <v>112</v>
      </c>
      <c r="D11" s="161">
        <v>1089182.71</v>
      </c>
      <c r="E11" s="5"/>
      <c r="F11" s="5"/>
      <c r="G11" s="5"/>
    </row>
    <row r="12" spans="1:9">
      <c r="A12" s="153" t="s">
        <v>190</v>
      </c>
      <c r="B12" s="148" t="s">
        <v>237</v>
      </c>
      <c r="C12" s="11"/>
      <c r="D12" s="152"/>
      <c r="E12" s="11" t="s">
        <v>260</v>
      </c>
      <c r="F12" s="11"/>
      <c r="G12" s="11"/>
    </row>
    <row r="13" spans="1:9">
      <c r="B13" s="27" t="s">
        <v>245</v>
      </c>
      <c r="C13" s="11"/>
      <c r="D13" s="152"/>
      <c r="E13" s="11"/>
      <c r="F13" s="11"/>
      <c r="G13" s="11"/>
    </row>
    <row r="14" spans="1:9">
      <c r="D14" s="5"/>
      <c r="E14" s="5"/>
      <c r="F14" s="5"/>
      <c r="G14" s="5"/>
    </row>
    <row r="15" spans="1:9">
      <c r="B15" s="179" t="s">
        <v>115</v>
      </c>
      <c r="C15" s="180" t="s">
        <v>113</v>
      </c>
      <c r="D15" s="158">
        <v>5</v>
      </c>
    </row>
    <row r="16" spans="1:9">
      <c r="B16" s="181" t="s">
        <v>116</v>
      </c>
      <c r="C16" s="180" t="s">
        <v>113</v>
      </c>
      <c r="D16" s="158">
        <v>1</v>
      </c>
      <c r="I16" s="10"/>
    </row>
    <row r="17" spans="1:7">
      <c r="B17" s="181" t="s">
        <v>117</v>
      </c>
      <c r="C17" s="180" t="s">
        <v>32</v>
      </c>
      <c r="D17" s="158">
        <v>450</v>
      </c>
    </row>
    <row r="18" spans="1:7">
      <c r="A18" s="153" t="s">
        <v>190</v>
      </c>
      <c r="B18" s="148" t="s">
        <v>237</v>
      </c>
      <c r="C18" s="11"/>
      <c r="D18" s="152"/>
      <c r="E18" s="11" t="s">
        <v>260</v>
      </c>
      <c r="F18" s="11"/>
      <c r="G18" s="11"/>
    </row>
    <row r="19" spans="1:7">
      <c r="B19" s="27" t="s">
        <v>246</v>
      </c>
      <c r="C19" s="11"/>
      <c r="D19" s="152"/>
      <c r="E19" s="11"/>
      <c r="F19" s="11"/>
      <c r="G19" s="11"/>
    </row>
    <row r="20" spans="1:7" ht="15.75" thickBot="1">
      <c r="B20" s="10"/>
    </row>
    <row r="21" spans="1:7" ht="15.75" thickBot="1">
      <c r="B21" s="185" t="s">
        <v>7</v>
      </c>
      <c r="C21" s="186" t="s">
        <v>109</v>
      </c>
      <c r="D21" s="187">
        <v>210</v>
      </c>
      <c r="E21">
        <f>D21</f>
        <v>210</v>
      </c>
      <c r="F21">
        <f>D21</f>
        <v>210</v>
      </c>
    </row>
    <row r="22" spans="1:7">
      <c r="A22" s="153" t="s">
        <v>190</v>
      </c>
      <c r="B22" s="148" t="s">
        <v>237</v>
      </c>
      <c r="C22" s="11"/>
      <c r="D22" s="152"/>
      <c r="E22" s="11" t="s">
        <v>260</v>
      </c>
      <c r="F22" s="11"/>
      <c r="G22" s="11"/>
    </row>
    <row r="23" spans="1:7">
      <c r="B23" s="27" t="s">
        <v>247</v>
      </c>
      <c r="C23" s="11"/>
      <c r="D23" s="152"/>
      <c r="E23" s="11"/>
      <c r="F23" s="11"/>
      <c r="G23" s="11"/>
    </row>
    <row r="24" spans="1:7" ht="15.75" thickBot="1">
      <c r="D24" s="2"/>
      <c r="E24" s="2"/>
      <c r="F24" s="2"/>
      <c r="G24" s="2"/>
    </row>
    <row r="25" spans="1:7">
      <c r="B25" s="149" t="s">
        <v>250</v>
      </c>
      <c r="C25" s="150" t="s">
        <v>107</v>
      </c>
      <c r="D25" s="159">
        <v>20</v>
      </c>
      <c r="E25" s="218">
        <f t="shared" ref="E25:E30" si="0">D25</f>
        <v>20</v>
      </c>
      <c r="F25" s="31">
        <f t="shared" ref="F25:F30" si="1">D25</f>
        <v>20</v>
      </c>
    </row>
    <row r="26" spans="1:7">
      <c r="B26" s="125" t="s">
        <v>251</v>
      </c>
      <c r="C26" s="3"/>
      <c r="D26" s="112">
        <v>0.05</v>
      </c>
      <c r="E26" s="219">
        <f t="shared" si="0"/>
        <v>0.05</v>
      </c>
      <c r="F26" s="217">
        <f t="shared" si="1"/>
        <v>0.05</v>
      </c>
      <c r="G26" s="2"/>
    </row>
    <row r="27" spans="1:7">
      <c r="B27" s="125" t="s">
        <v>249</v>
      </c>
      <c r="C27" s="3" t="s">
        <v>108</v>
      </c>
      <c r="D27" s="115">
        <v>10</v>
      </c>
      <c r="E27" s="218">
        <f t="shared" si="0"/>
        <v>10</v>
      </c>
      <c r="F27" s="31">
        <f t="shared" si="1"/>
        <v>10</v>
      </c>
    </row>
    <row r="28" spans="1:7">
      <c r="B28" s="125" t="s">
        <v>252</v>
      </c>
      <c r="C28" s="3"/>
      <c r="D28" s="112">
        <v>0.1</v>
      </c>
      <c r="E28" s="219">
        <f t="shared" si="0"/>
        <v>0.1</v>
      </c>
      <c r="F28" s="217">
        <f t="shared" si="1"/>
        <v>0.1</v>
      </c>
    </row>
    <row r="29" spans="1:7">
      <c r="B29" s="125" t="s">
        <v>253</v>
      </c>
      <c r="C29" s="3" t="s">
        <v>108</v>
      </c>
      <c r="D29" s="126">
        <v>5</v>
      </c>
      <c r="E29" s="220">
        <f t="shared" si="0"/>
        <v>5</v>
      </c>
      <c r="F29" s="139">
        <f t="shared" si="1"/>
        <v>5</v>
      </c>
      <c r="G29" s="2"/>
    </row>
    <row r="30" spans="1:7" ht="15.75" thickBot="1">
      <c r="B30" s="128" t="s">
        <v>254</v>
      </c>
      <c r="C30" s="117"/>
      <c r="D30" s="188">
        <v>0.2</v>
      </c>
      <c r="E30" s="219">
        <f t="shared" si="0"/>
        <v>0.2</v>
      </c>
      <c r="F30" s="217">
        <f t="shared" si="1"/>
        <v>0.2</v>
      </c>
      <c r="G30" s="2"/>
    </row>
    <row r="31" spans="1:7">
      <c r="A31" s="153" t="s">
        <v>190</v>
      </c>
      <c r="B31" s="148" t="s">
        <v>237</v>
      </c>
      <c r="C31" s="11"/>
      <c r="D31" s="152"/>
      <c r="E31" s="11" t="s">
        <v>260</v>
      </c>
      <c r="F31" s="11"/>
      <c r="G31" s="11"/>
    </row>
    <row r="32" spans="1:7">
      <c r="B32" s="27" t="s">
        <v>248</v>
      </c>
      <c r="C32" s="11"/>
      <c r="D32" s="152"/>
      <c r="E32" s="11"/>
      <c r="F32" s="11"/>
      <c r="G32" s="11"/>
    </row>
    <row r="33" spans="2:10" ht="15.75" thickBot="1">
      <c r="D33" s="2"/>
      <c r="E33" s="2"/>
      <c r="F33" s="2"/>
      <c r="G33" s="2"/>
    </row>
    <row r="34" spans="2:10" ht="15.75" thickBot="1">
      <c r="B34" s="288" t="s">
        <v>207</v>
      </c>
      <c r="C34" s="289"/>
      <c r="D34" s="290"/>
    </row>
    <row r="35" spans="2:10">
      <c r="B35" s="149" t="s">
        <v>9</v>
      </c>
      <c r="C35" s="150" t="s">
        <v>155</v>
      </c>
      <c r="D35" s="151" t="s">
        <v>4</v>
      </c>
      <c r="E35" s="11"/>
      <c r="F35" s="11"/>
      <c r="G35" s="11"/>
    </row>
    <row r="36" spans="2:10">
      <c r="B36" s="108" t="s">
        <v>119</v>
      </c>
      <c r="C36" s="3" t="s">
        <v>49</v>
      </c>
      <c r="D36" s="109">
        <v>58</v>
      </c>
      <c r="E36" s="17"/>
      <c r="F36" s="17"/>
      <c r="G36" s="17"/>
    </row>
    <row r="37" spans="2:10">
      <c r="B37" s="110" t="s">
        <v>10</v>
      </c>
      <c r="C37" s="3"/>
      <c r="D37" s="111">
        <v>0.82799999999999996</v>
      </c>
      <c r="E37" s="18"/>
      <c r="F37" s="18"/>
      <c r="G37" s="18"/>
    </row>
    <row r="38" spans="2:10">
      <c r="B38" s="110" t="s">
        <v>11</v>
      </c>
      <c r="C38" s="3"/>
      <c r="D38" s="111">
        <v>0.17199999999999999</v>
      </c>
      <c r="E38" s="18"/>
      <c r="F38" s="18"/>
      <c r="G38" s="18"/>
    </row>
    <row r="39" spans="2:10">
      <c r="B39" s="108" t="s">
        <v>125</v>
      </c>
      <c r="C39" s="3" t="s">
        <v>157</v>
      </c>
      <c r="D39" s="109">
        <v>5</v>
      </c>
      <c r="E39" s="17"/>
      <c r="F39" s="17"/>
      <c r="G39" s="17"/>
    </row>
    <row r="40" spans="2:10">
      <c r="B40" s="110" t="s">
        <v>12</v>
      </c>
      <c r="C40" s="3"/>
      <c r="D40" s="112">
        <v>0.6</v>
      </c>
      <c r="E40" s="19"/>
      <c r="F40" s="19"/>
      <c r="G40" s="19"/>
    </row>
    <row r="41" spans="2:10">
      <c r="B41" s="110" t="s">
        <v>13</v>
      </c>
      <c r="C41" s="3"/>
      <c r="D41" s="112">
        <v>0.4</v>
      </c>
      <c r="E41" s="19"/>
      <c r="F41" s="19"/>
      <c r="G41" s="19"/>
    </row>
    <row r="42" spans="2:10">
      <c r="B42" s="113" t="s">
        <v>14</v>
      </c>
      <c r="C42" s="3" t="s">
        <v>120</v>
      </c>
      <c r="D42" s="109">
        <v>86</v>
      </c>
      <c r="E42" s="17"/>
      <c r="F42" s="17"/>
      <c r="G42" s="17"/>
      <c r="H42" s="11"/>
      <c r="I42" s="11"/>
      <c r="J42" s="11"/>
    </row>
    <row r="43" spans="2:10">
      <c r="B43" s="110" t="s">
        <v>15</v>
      </c>
      <c r="C43" s="4"/>
      <c r="D43" s="111">
        <v>0.69799999999999995</v>
      </c>
      <c r="E43" s="18"/>
      <c r="F43" s="18"/>
      <c r="G43" s="18"/>
      <c r="H43" s="14"/>
      <c r="I43" s="13"/>
      <c r="J43" s="11"/>
    </row>
    <row r="44" spans="2:10">
      <c r="B44" s="110" t="s">
        <v>16</v>
      </c>
      <c r="C44" s="4"/>
      <c r="D44" s="111">
        <v>0.30199999999999999</v>
      </c>
      <c r="E44" s="18"/>
      <c r="F44" s="18"/>
      <c r="G44" s="18"/>
      <c r="H44" s="14"/>
      <c r="I44" s="13"/>
      <c r="J44" s="11"/>
    </row>
    <row r="45" spans="2:10">
      <c r="B45" s="113" t="s">
        <v>19</v>
      </c>
      <c r="C45" s="3" t="s">
        <v>120</v>
      </c>
      <c r="D45" s="109">
        <v>25</v>
      </c>
      <c r="E45" s="17"/>
      <c r="F45" s="17"/>
      <c r="G45" s="17"/>
      <c r="H45" s="14"/>
      <c r="I45" s="13"/>
      <c r="J45" s="11"/>
    </row>
    <row r="46" spans="2:10">
      <c r="B46" s="113" t="s">
        <v>17</v>
      </c>
      <c r="C46" s="3" t="s">
        <v>120</v>
      </c>
      <c r="D46" s="109">
        <v>40</v>
      </c>
      <c r="E46" s="17"/>
      <c r="F46" s="17"/>
      <c r="G46" s="17"/>
      <c r="H46" s="14"/>
      <c r="I46" s="13"/>
      <c r="J46" s="11"/>
    </row>
    <row r="47" spans="2:10">
      <c r="B47" s="113" t="s">
        <v>18</v>
      </c>
      <c r="C47" s="3" t="s">
        <v>120</v>
      </c>
      <c r="D47" s="109">
        <v>40</v>
      </c>
      <c r="E47" s="17"/>
      <c r="F47" s="17"/>
      <c r="G47" s="17"/>
      <c r="H47" s="14"/>
      <c r="I47" s="13"/>
      <c r="J47" s="11"/>
    </row>
    <row r="48" spans="2:10">
      <c r="B48" s="113" t="s">
        <v>25</v>
      </c>
      <c r="C48" s="3" t="s">
        <v>27</v>
      </c>
      <c r="D48" s="109">
        <v>145.30000000000001</v>
      </c>
      <c r="E48" s="17"/>
      <c r="F48" s="17"/>
      <c r="G48" s="17"/>
      <c r="H48" s="11"/>
      <c r="I48" s="13"/>
      <c r="J48" s="11"/>
    </row>
    <row r="49" spans="1:10">
      <c r="B49" s="114" t="s">
        <v>20</v>
      </c>
      <c r="C49" s="3" t="s">
        <v>124</v>
      </c>
      <c r="D49" s="223">
        <v>47.3</v>
      </c>
      <c r="E49" s="11"/>
      <c r="F49" s="11"/>
      <c r="G49" s="11"/>
      <c r="H49" s="11"/>
      <c r="I49" s="11"/>
      <c r="J49" s="11"/>
    </row>
    <row r="50" spans="1:10">
      <c r="B50" s="114" t="s">
        <v>21</v>
      </c>
      <c r="C50" s="3" t="s">
        <v>124</v>
      </c>
      <c r="D50" s="223">
        <v>22</v>
      </c>
      <c r="E50" s="17"/>
      <c r="F50" s="17"/>
      <c r="G50" s="17"/>
      <c r="H50" s="11"/>
      <c r="I50" s="11"/>
      <c r="J50" s="11"/>
    </row>
    <row r="51" spans="1:10">
      <c r="B51" s="114" t="s">
        <v>22</v>
      </c>
      <c r="C51" s="3" t="s">
        <v>124</v>
      </c>
      <c r="D51" s="223">
        <v>9.9</v>
      </c>
      <c r="E51" s="11"/>
      <c r="F51" s="11"/>
      <c r="G51" s="11"/>
    </row>
    <row r="52" spans="1:10">
      <c r="B52" s="114" t="s">
        <v>23</v>
      </c>
      <c r="C52" s="3" t="s">
        <v>124</v>
      </c>
      <c r="D52" s="223">
        <v>17.100000000000001</v>
      </c>
      <c r="E52" s="17"/>
      <c r="F52" s="17"/>
      <c r="G52" s="17"/>
    </row>
    <row r="53" spans="1:10" ht="15.75" thickBot="1">
      <c r="B53" s="116" t="s">
        <v>24</v>
      </c>
      <c r="C53" s="117" t="s">
        <v>124</v>
      </c>
      <c r="D53" s="224">
        <v>3.6</v>
      </c>
      <c r="E53" s="11"/>
      <c r="F53" s="11"/>
      <c r="G53" s="11"/>
    </row>
    <row r="54" spans="1:10">
      <c r="A54" s="153" t="s">
        <v>190</v>
      </c>
      <c r="B54" s="148" t="s">
        <v>237</v>
      </c>
      <c r="C54" s="11"/>
      <c r="D54" s="152"/>
      <c r="E54" s="11" t="s">
        <v>260</v>
      </c>
      <c r="F54" s="11"/>
      <c r="G54" s="11"/>
    </row>
    <row r="55" spans="1:10">
      <c r="B55" s="27" t="s">
        <v>236</v>
      </c>
      <c r="C55" s="11"/>
      <c r="D55" s="152"/>
      <c r="E55" s="11"/>
      <c r="F55" s="11"/>
      <c r="G55" s="11"/>
    </row>
    <row r="56" spans="1:10">
      <c r="B56" s="27"/>
    </row>
    <row r="57" spans="1:10" ht="15.75" thickBot="1">
      <c r="B57" t="s">
        <v>103</v>
      </c>
    </row>
    <row r="58" spans="1:10">
      <c r="A58" s="20"/>
      <c r="B58" s="228" t="s">
        <v>104</v>
      </c>
      <c r="C58" s="164" t="s">
        <v>120</v>
      </c>
      <c r="D58" s="166">
        <f>D43*D42</f>
        <v>60.027999999999999</v>
      </c>
      <c r="E58" s="152">
        <v>60</v>
      </c>
      <c r="F58" s="152">
        <v>60</v>
      </c>
      <c r="G58" s="11"/>
    </row>
    <row r="59" spans="1:10">
      <c r="B59" s="114" t="s">
        <v>105</v>
      </c>
      <c r="C59" s="3" t="s">
        <v>120</v>
      </c>
      <c r="D59" s="167">
        <f>D42*D44</f>
        <v>25.971999999999998</v>
      </c>
      <c r="E59" s="11">
        <v>26</v>
      </c>
      <c r="F59" s="11">
        <v>26</v>
      </c>
      <c r="G59" s="11"/>
    </row>
    <row r="60" spans="1:10">
      <c r="B60" s="114" t="s">
        <v>268</v>
      </c>
      <c r="C60" s="3" t="s">
        <v>120</v>
      </c>
      <c r="D60" s="168">
        <f>D45</f>
        <v>25</v>
      </c>
      <c r="E60" s="11">
        <v>25</v>
      </c>
      <c r="F60" s="11">
        <v>25</v>
      </c>
      <c r="G60" s="11"/>
    </row>
    <row r="61" spans="1:10">
      <c r="B61" s="114" t="s">
        <v>269</v>
      </c>
      <c r="C61" s="3" t="s">
        <v>120</v>
      </c>
      <c r="D61" s="168">
        <f>D46</f>
        <v>40</v>
      </c>
      <c r="E61" s="11">
        <v>40</v>
      </c>
      <c r="F61" s="11">
        <v>40</v>
      </c>
      <c r="G61" s="11"/>
    </row>
    <row r="62" spans="1:10">
      <c r="B62" s="114" t="s">
        <v>270</v>
      </c>
      <c r="C62" s="3" t="s">
        <v>120</v>
      </c>
      <c r="D62" s="168">
        <f>D47</f>
        <v>40</v>
      </c>
      <c r="E62" s="11">
        <v>40</v>
      </c>
      <c r="F62" s="11">
        <v>40</v>
      </c>
      <c r="G62" s="11"/>
    </row>
    <row r="63" spans="1:10" ht="15.75" thickBot="1">
      <c r="B63" s="165" t="s">
        <v>106</v>
      </c>
      <c r="C63" s="117" t="s">
        <v>120</v>
      </c>
      <c r="D63" s="169">
        <f>SUM(D58:D62)</f>
        <v>191</v>
      </c>
      <c r="E63" s="13">
        <v>191</v>
      </c>
      <c r="F63" s="13">
        <v>191</v>
      </c>
      <c r="G63" s="13"/>
    </row>
    <row r="64" spans="1:10" s="11" customFormat="1">
      <c r="B64" s="12"/>
      <c r="D64" s="13"/>
      <c r="E64" s="13"/>
      <c r="F64" s="13"/>
      <c r="G64" s="13"/>
    </row>
    <row r="65" spans="1:9" s="11" customFormat="1" ht="15.75" thickBot="1">
      <c r="B65" s="12" t="s">
        <v>118</v>
      </c>
      <c r="D65" s="13"/>
      <c r="E65" s="13"/>
      <c r="F65" s="13"/>
      <c r="G65" s="13"/>
    </row>
    <row r="66" spans="1:9">
      <c r="B66" s="170" t="s">
        <v>208</v>
      </c>
      <c r="C66" s="150" t="s">
        <v>27</v>
      </c>
      <c r="D66" s="171">
        <f>D49*$D$48/100</f>
        <v>68.726900000000001</v>
      </c>
      <c r="E66" s="226">
        <f>D66</f>
        <v>68.726900000000001</v>
      </c>
      <c r="F66" s="227">
        <f>D66</f>
        <v>68.726900000000001</v>
      </c>
      <c r="G66" s="14"/>
      <c r="H66" s="296"/>
      <c r="I66" s="296"/>
    </row>
    <row r="67" spans="1:9">
      <c r="B67" s="114" t="s">
        <v>209</v>
      </c>
      <c r="C67" s="3" t="s">
        <v>27</v>
      </c>
      <c r="D67" s="172">
        <f>D50*$D$48/100</f>
        <v>31.966000000000005</v>
      </c>
      <c r="E67" s="226">
        <f>D67</f>
        <v>31.966000000000005</v>
      </c>
      <c r="F67" s="227">
        <f>D67</f>
        <v>31.966000000000005</v>
      </c>
      <c r="G67" s="14"/>
      <c r="H67" s="296"/>
      <c r="I67" s="296"/>
    </row>
    <row r="68" spans="1:9">
      <c r="B68" s="114" t="s">
        <v>210</v>
      </c>
      <c r="C68" s="3" t="s">
        <v>27</v>
      </c>
      <c r="D68" s="172">
        <f>D51*$D$48/100</f>
        <v>14.384700000000002</v>
      </c>
      <c r="E68" s="13"/>
      <c r="F68" s="227"/>
      <c r="G68" s="14"/>
      <c r="H68" s="296"/>
      <c r="I68" s="296"/>
    </row>
    <row r="69" spans="1:9">
      <c r="B69" s="114" t="s">
        <v>211</v>
      </c>
      <c r="C69" s="3" t="s">
        <v>27</v>
      </c>
      <c r="D69" s="172">
        <f>D52*$D$48/100</f>
        <v>24.846300000000006</v>
      </c>
      <c r="E69" s="13"/>
      <c r="F69" s="227"/>
      <c r="G69" s="14"/>
    </row>
    <row r="70" spans="1:9">
      <c r="B70" s="114" t="s">
        <v>212</v>
      </c>
      <c r="C70" s="3" t="s">
        <v>27</v>
      </c>
      <c r="D70" s="172">
        <f>D53*$D$48/100</f>
        <v>5.2308000000000003</v>
      </c>
      <c r="E70" s="13"/>
      <c r="F70" s="227"/>
      <c r="G70" s="14"/>
    </row>
    <row r="71" spans="1:9" ht="15.75" thickBot="1">
      <c r="B71" s="165" t="s">
        <v>56</v>
      </c>
      <c r="C71" s="117" t="s">
        <v>27</v>
      </c>
      <c r="D71" s="169">
        <f>SUM(D66:D70)</f>
        <v>145.15470000000002</v>
      </c>
      <c r="E71" s="13"/>
      <c r="F71" s="13"/>
      <c r="G71" s="13"/>
    </row>
    <row r="72" spans="1:9" s="11" customFormat="1">
      <c r="B72" s="12"/>
      <c r="D72" s="13"/>
      <c r="E72" s="13"/>
      <c r="F72" s="13"/>
      <c r="G72" s="13"/>
    </row>
    <row r="73" spans="1:9" s="11" customFormat="1">
      <c r="B73" s="232" t="s">
        <v>336</v>
      </c>
      <c r="C73" s="31" t="s">
        <v>27</v>
      </c>
      <c r="D73" s="324">
        <f>D66+D67</f>
        <v>100.69290000000001</v>
      </c>
      <c r="E73" s="13">
        <f>D73</f>
        <v>100.69290000000001</v>
      </c>
      <c r="F73" s="227">
        <f>D73</f>
        <v>100.69290000000001</v>
      </c>
      <c r="G73" s="13"/>
    </row>
    <row r="74" spans="1:9">
      <c r="A74" s="20"/>
      <c r="B74" s="232" t="s">
        <v>330</v>
      </c>
      <c r="C74" s="31"/>
      <c r="D74" s="326">
        <f>((D58^2)/D66+(D59^2)/D67)/(D58+D59)</f>
        <v>0.8550242132265532</v>
      </c>
      <c r="E74" s="14"/>
      <c r="F74" s="14"/>
      <c r="G74" s="14"/>
    </row>
    <row r="75" spans="1:9">
      <c r="B75" s="232" t="s">
        <v>266</v>
      </c>
      <c r="C75" s="31" t="s">
        <v>267</v>
      </c>
      <c r="D75" s="327">
        <v>450</v>
      </c>
      <c r="E75" s="11"/>
      <c r="F75" s="11"/>
      <c r="G75" s="11"/>
    </row>
    <row r="76" spans="1:9" ht="15.75" thickBot="1"/>
    <row r="77" spans="1:9">
      <c r="B77" s="149" t="s">
        <v>29</v>
      </c>
      <c r="C77" s="150" t="s">
        <v>313</v>
      </c>
      <c r="D77" s="159">
        <v>13.5</v>
      </c>
    </row>
    <row r="78" spans="1:9">
      <c r="B78" s="125" t="s">
        <v>239</v>
      </c>
      <c r="C78" s="3" t="s">
        <v>314</v>
      </c>
      <c r="D78" s="115">
        <v>2.06</v>
      </c>
    </row>
    <row r="79" spans="1:9" ht="15.75" thickBot="1">
      <c r="B79" s="128" t="s">
        <v>238</v>
      </c>
      <c r="C79" s="117" t="s">
        <v>314</v>
      </c>
      <c r="D79" s="118">
        <v>1.1399999999999999</v>
      </c>
    </row>
    <row r="80" spans="1:9">
      <c r="A80" s="153" t="s">
        <v>190</v>
      </c>
      <c r="B80" s="148" t="s">
        <v>237</v>
      </c>
      <c r="C80" s="11"/>
      <c r="D80" s="152"/>
      <c r="E80" s="11" t="s">
        <v>260</v>
      </c>
      <c r="F80" s="11"/>
      <c r="G80" s="11"/>
    </row>
    <row r="81" spans="1:9">
      <c r="B81" t="s">
        <v>240</v>
      </c>
      <c r="D81" s="7"/>
      <c r="E81" s="7"/>
      <c r="F81" s="7"/>
      <c r="G81" s="7"/>
    </row>
    <row r="82" spans="1:9" ht="15.75" thickBot="1"/>
    <row r="83" spans="1:9">
      <c r="B83" s="149" t="s">
        <v>30</v>
      </c>
      <c r="C83" s="150" t="s">
        <v>320</v>
      </c>
      <c r="D83" s="159">
        <v>9.15</v>
      </c>
      <c r="I83" s="274">
        <f>D83/D84-1</f>
        <v>0.30714285714285716</v>
      </c>
    </row>
    <row r="84" spans="1:9">
      <c r="B84" s="182" t="s">
        <v>111</v>
      </c>
      <c r="C84" s="183" t="s">
        <v>311</v>
      </c>
      <c r="D84" s="184">
        <v>7</v>
      </c>
      <c r="I84" s="2">
        <f>I182</f>
        <v>1</v>
      </c>
    </row>
    <row r="85" spans="1:9" ht="15.75" thickBot="1">
      <c r="B85" s="128" t="s">
        <v>241</v>
      </c>
      <c r="C85" s="117" t="s">
        <v>312</v>
      </c>
      <c r="D85" s="118">
        <v>3.15</v>
      </c>
    </row>
    <row r="86" spans="1:9">
      <c r="A86" s="153" t="s">
        <v>190</v>
      </c>
      <c r="B86" s="148" t="s">
        <v>237</v>
      </c>
      <c r="C86" s="11"/>
      <c r="D86" s="152"/>
      <c r="E86" s="11" t="s">
        <v>260</v>
      </c>
      <c r="F86" s="11"/>
      <c r="G86" s="11"/>
    </row>
    <row r="87" spans="1:9">
      <c r="B87" t="s">
        <v>242</v>
      </c>
      <c r="D87" s="7"/>
      <c r="E87" s="7"/>
      <c r="F87" s="7"/>
      <c r="G87" s="7"/>
    </row>
    <row r="88" spans="1:9" ht="15.75" thickBot="1">
      <c r="D88" s="7"/>
      <c r="E88" s="7"/>
      <c r="F88" s="7"/>
      <c r="G88" s="7"/>
    </row>
    <row r="89" spans="1:9">
      <c r="B89" s="149" t="s">
        <v>317</v>
      </c>
      <c r="C89" s="150"/>
      <c r="D89" s="279">
        <v>1</v>
      </c>
      <c r="E89" s="280">
        <v>1</v>
      </c>
      <c r="F89" s="325">
        <v>0.5</v>
      </c>
      <c r="G89" s="7"/>
    </row>
    <row r="90" spans="1:9" ht="15.75" thickBot="1">
      <c r="B90" s="128" t="s">
        <v>1</v>
      </c>
      <c r="C90" s="117" t="s">
        <v>110</v>
      </c>
      <c r="D90" s="270">
        <f>D83*D89</f>
        <v>9.15</v>
      </c>
      <c r="E90" s="205">
        <f>D90*E89</f>
        <v>9.15</v>
      </c>
      <c r="F90" s="275">
        <f>D90*F89</f>
        <v>4.5750000000000002</v>
      </c>
      <c r="G90" s="9"/>
    </row>
    <row r="91" spans="1:9">
      <c r="A91" s="153" t="s">
        <v>190</v>
      </c>
      <c r="B91" s="11"/>
      <c r="C91" s="11"/>
      <c r="D91" s="272"/>
      <c r="E91" s="273"/>
      <c r="F91" s="124"/>
      <c r="G91" s="9"/>
    </row>
    <row r="92" spans="1:9" ht="15.75" thickBot="1"/>
    <row r="93" spans="1:9">
      <c r="B93" s="149" t="s">
        <v>31</v>
      </c>
      <c r="C93" s="150" t="s">
        <v>32</v>
      </c>
      <c r="D93" s="159">
        <v>515</v>
      </c>
      <c r="F93" s="9">
        <f>D93*$F$89</f>
        <v>257.5</v>
      </c>
    </row>
    <row r="94" spans="1:9">
      <c r="B94" s="125" t="s">
        <v>33</v>
      </c>
      <c r="C94" s="3" t="s">
        <v>32</v>
      </c>
      <c r="D94" s="115">
        <v>575</v>
      </c>
      <c r="F94" s="9">
        <f t="shared" ref="F94:F97" si="2">D94*$F$89</f>
        <v>287.5</v>
      </c>
    </row>
    <row r="95" spans="1:9">
      <c r="B95" s="125" t="s">
        <v>34</v>
      </c>
      <c r="C95" s="3" t="s">
        <v>32</v>
      </c>
      <c r="D95" s="115">
        <v>320</v>
      </c>
      <c r="F95" s="9">
        <f t="shared" si="2"/>
        <v>160</v>
      </c>
    </row>
    <row r="96" spans="1:9">
      <c r="B96" s="125" t="s">
        <v>35</v>
      </c>
      <c r="C96" s="3" t="s">
        <v>32</v>
      </c>
      <c r="D96" s="115">
        <v>280</v>
      </c>
      <c r="F96" s="9">
        <f t="shared" si="2"/>
        <v>140</v>
      </c>
    </row>
    <row r="97" spans="1:8" ht="15.75" thickBot="1">
      <c r="B97" s="128" t="s">
        <v>36</v>
      </c>
      <c r="C97" s="117" t="s">
        <v>32</v>
      </c>
      <c r="D97" s="118">
        <v>60</v>
      </c>
      <c r="F97" s="9">
        <f t="shared" si="2"/>
        <v>30</v>
      </c>
    </row>
    <row r="98" spans="1:8">
      <c r="A98" s="153" t="s">
        <v>190</v>
      </c>
      <c r="B98" s="148" t="s">
        <v>237</v>
      </c>
      <c r="C98" s="11"/>
      <c r="D98" s="152"/>
      <c r="E98" s="11" t="s">
        <v>260</v>
      </c>
      <c r="F98" s="11"/>
      <c r="G98" s="11"/>
    </row>
    <row r="99" spans="1:8">
      <c r="B99" t="s">
        <v>243</v>
      </c>
      <c r="D99" s="7"/>
      <c r="E99" s="7"/>
      <c r="F99" s="7"/>
      <c r="G99" s="7"/>
    </row>
    <row r="100" spans="1:8" ht="15.75" thickBot="1"/>
    <row r="101" spans="1:8">
      <c r="B101" s="149" t="s">
        <v>37</v>
      </c>
      <c r="C101" s="150" t="s">
        <v>38</v>
      </c>
      <c r="D101" s="160">
        <v>100000</v>
      </c>
      <c r="E101" s="5"/>
      <c r="F101" s="5"/>
      <c r="G101" s="5"/>
    </row>
    <row r="102" spans="1:8">
      <c r="B102" s="125" t="s">
        <v>39</v>
      </c>
      <c r="C102" s="3" t="s">
        <v>121</v>
      </c>
      <c r="D102" s="127">
        <v>2200</v>
      </c>
      <c r="E102" s="5"/>
      <c r="F102" s="286"/>
      <c r="G102" s="5"/>
    </row>
    <row r="103" spans="1:8">
      <c r="B103" s="125" t="s">
        <v>40</v>
      </c>
      <c r="C103" s="3" t="s">
        <v>122</v>
      </c>
      <c r="D103" s="127">
        <v>1700</v>
      </c>
      <c r="E103" s="5"/>
      <c r="F103" s="5"/>
      <c r="G103" s="5"/>
    </row>
    <row r="104" spans="1:8" ht="15.75" thickBot="1">
      <c r="B104" s="128" t="s">
        <v>41</v>
      </c>
      <c r="C104" s="117" t="s">
        <v>123</v>
      </c>
      <c r="D104" s="161">
        <v>291.73</v>
      </c>
      <c r="E104" s="5"/>
      <c r="F104" s="5"/>
      <c r="G104" s="5"/>
    </row>
    <row r="105" spans="1:8">
      <c r="A105" s="153" t="s">
        <v>190</v>
      </c>
      <c r="B105" s="148" t="s">
        <v>237</v>
      </c>
      <c r="C105" s="11"/>
      <c r="D105" s="152"/>
      <c r="E105" s="11" t="s">
        <v>260</v>
      </c>
      <c r="F105" s="11"/>
      <c r="G105" s="11"/>
    </row>
    <row r="106" spans="1:8">
      <c r="B106" t="s">
        <v>244</v>
      </c>
      <c r="D106" s="7"/>
      <c r="E106" s="7"/>
      <c r="F106" s="7"/>
      <c r="G106" s="7"/>
    </row>
    <row r="108" spans="1:8" ht="15.75" thickBot="1">
      <c r="B108" t="s">
        <v>42</v>
      </c>
    </row>
    <row r="109" spans="1:8">
      <c r="B109" s="149" t="s">
        <v>158</v>
      </c>
      <c r="C109" s="150" t="s">
        <v>124</v>
      </c>
      <c r="D109" s="173">
        <v>0.56399999999999995</v>
      </c>
      <c r="E109" s="2"/>
      <c r="F109" s="2"/>
      <c r="G109" s="2"/>
    </row>
    <row r="110" spans="1:8">
      <c r="B110" s="125" t="s">
        <v>43</v>
      </c>
      <c r="C110" s="3" t="s">
        <v>44</v>
      </c>
      <c r="D110" s="111">
        <v>7.1599999999999997E-2</v>
      </c>
      <c r="E110" s="6"/>
      <c r="F110" s="6"/>
      <c r="G110" s="6"/>
    </row>
    <row r="111" spans="1:8">
      <c r="B111" s="125" t="s">
        <v>45</v>
      </c>
      <c r="C111" s="3" t="s">
        <v>46</v>
      </c>
      <c r="D111" s="111">
        <v>8.1600000000000006E-2</v>
      </c>
      <c r="E111" s="6"/>
      <c r="F111" s="6"/>
      <c r="G111" s="6"/>
    </row>
    <row r="112" spans="1:8" ht="15.75" thickBot="1">
      <c r="B112" s="128" t="s">
        <v>45</v>
      </c>
      <c r="C112" s="117" t="s">
        <v>47</v>
      </c>
      <c r="D112" s="157">
        <v>0.93410000000000004</v>
      </c>
      <c r="E112" s="6"/>
      <c r="F112" s="6"/>
      <c r="G112" s="6"/>
      <c r="H112" s="16"/>
    </row>
    <row r="113" spans="1:7">
      <c r="A113" s="153" t="s">
        <v>190</v>
      </c>
      <c r="B113" s="148" t="s">
        <v>237</v>
      </c>
      <c r="C113" s="11"/>
      <c r="D113" s="152"/>
      <c r="E113" s="11" t="s">
        <v>260</v>
      </c>
      <c r="F113" s="11"/>
      <c r="G113" s="11"/>
    </row>
    <row r="114" spans="1:7">
      <c r="B114" t="s">
        <v>244</v>
      </c>
      <c r="D114" s="7"/>
      <c r="E114" s="7"/>
      <c r="F114" s="7"/>
      <c r="G114" s="7"/>
    </row>
    <row r="115" spans="1:7" ht="15.75" thickBot="1"/>
    <row r="116" spans="1:7" ht="15.75" thickBot="1">
      <c r="B116" s="288" t="s">
        <v>214</v>
      </c>
      <c r="C116" s="289"/>
      <c r="D116" s="290"/>
    </row>
    <row r="117" spans="1:7">
      <c r="B117" s="119" t="s">
        <v>48</v>
      </c>
      <c r="C117" s="120" t="s">
        <v>49</v>
      </c>
      <c r="D117" s="130">
        <v>48</v>
      </c>
      <c r="E117" s="204">
        <v>48</v>
      </c>
      <c r="F117" s="204">
        <f>F219*SUM(F66:F67)</f>
        <v>1006.9290000000001</v>
      </c>
      <c r="G117" s="7"/>
    </row>
    <row r="118" spans="1:7">
      <c r="B118" s="125" t="s">
        <v>50</v>
      </c>
      <c r="C118" s="3" t="s">
        <v>49</v>
      </c>
      <c r="D118" s="126">
        <v>10</v>
      </c>
      <c r="E118" s="7"/>
      <c r="F118" s="7"/>
      <c r="G118" s="7"/>
    </row>
    <row r="119" spans="1:7">
      <c r="B119" s="125" t="s">
        <v>51</v>
      </c>
      <c r="C119" s="3" t="s">
        <v>49</v>
      </c>
      <c r="D119" s="126">
        <v>1</v>
      </c>
      <c r="E119" s="7"/>
      <c r="F119" s="7"/>
      <c r="G119" s="7"/>
    </row>
    <row r="120" spans="1:7">
      <c r="B120" s="125" t="s">
        <v>52</v>
      </c>
      <c r="C120" s="3" t="s">
        <v>53</v>
      </c>
      <c r="D120" s="127">
        <v>5220000</v>
      </c>
      <c r="E120" s="5">
        <f>D120*E117/D117</f>
        <v>5220000</v>
      </c>
      <c r="F120" s="5">
        <f>D120*F117/D36</f>
        <v>90623610</v>
      </c>
      <c r="G120" s="5"/>
    </row>
    <row r="121" spans="1:7">
      <c r="B121" s="125" t="s">
        <v>51</v>
      </c>
      <c r="C121" s="3" t="s">
        <v>53</v>
      </c>
      <c r="D121" s="127">
        <v>2460000</v>
      </c>
      <c r="E121" s="221">
        <f>D121</f>
        <v>2460000</v>
      </c>
      <c r="F121" s="221">
        <f>0.05*D121</f>
        <v>123000</v>
      </c>
      <c r="G121" s="5"/>
    </row>
    <row r="122" spans="1:7">
      <c r="B122" s="125" t="s">
        <v>8</v>
      </c>
      <c r="C122" s="3" t="s">
        <v>53</v>
      </c>
      <c r="D122" s="127">
        <v>500000</v>
      </c>
      <c r="E122" s="221">
        <f>D122</f>
        <v>500000</v>
      </c>
      <c r="F122" s="221">
        <f>0.05*D122</f>
        <v>25000</v>
      </c>
      <c r="G122" s="5"/>
    </row>
    <row r="123" spans="1:7">
      <c r="B123" s="125" t="s">
        <v>54</v>
      </c>
      <c r="C123" s="3" t="s">
        <v>53</v>
      </c>
      <c r="D123" s="127">
        <v>946000</v>
      </c>
      <c r="E123" s="5">
        <f>D123</f>
        <v>946000</v>
      </c>
      <c r="F123" s="5">
        <f>D123</f>
        <v>946000</v>
      </c>
      <c r="G123" s="5"/>
    </row>
    <row r="124" spans="1:7">
      <c r="B124" s="125" t="s">
        <v>55</v>
      </c>
      <c r="C124" s="3" t="s">
        <v>53</v>
      </c>
      <c r="D124" s="127">
        <v>650880</v>
      </c>
      <c r="E124" s="221">
        <f>D124</f>
        <v>650880</v>
      </c>
      <c r="F124" s="221">
        <f>0.05*D124</f>
        <v>32544</v>
      </c>
      <c r="G124" s="5"/>
    </row>
    <row r="125" spans="1:7" ht="15.75" thickBot="1">
      <c r="B125" s="128" t="s">
        <v>56</v>
      </c>
      <c r="C125" s="117" t="s">
        <v>53</v>
      </c>
      <c r="D125" s="222">
        <f>SUM(D120:D124)</f>
        <v>9776880</v>
      </c>
      <c r="E125" s="201">
        <f>SUM(E120:E124)</f>
        <v>9776880</v>
      </c>
      <c r="F125" s="201">
        <f>SUM(F120:F124)</f>
        <v>91750154</v>
      </c>
      <c r="G125" s="8"/>
    </row>
    <row r="126" spans="1:7">
      <c r="A126" s="153" t="s">
        <v>190</v>
      </c>
      <c r="B126" s="148" t="s">
        <v>237</v>
      </c>
      <c r="C126" s="11"/>
      <c r="D126" s="152"/>
      <c r="E126" s="11" t="s">
        <v>260</v>
      </c>
      <c r="F126" s="11"/>
      <c r="G126" s="11"/>
    </row>
    <row r="127" spans="1:7">
      <c r="B127" s="27" t="s">
        <v>236</v>
      </c>
      <c r="C127" s="11"/>
      <c r="D127" s="152"/>
      <c r="E127" s="11"/>
      <c r="F127" s="11"/>
      <c r="G127" s="11"/>
    </row>
    <row r="128" spans="1:7" ht="15.75" thickBot="1"/>
    <row r="129" spans="1:10">
      <c r="B129" s="149" t="s">
        <v>57</v>
      </c>
      <c r="C129" s="150" t="s">
        <v>58</v>
      </c>
      <c r="D129" s="155">
        <v>3.5</v>
      </c>
      <c r="E129" s="8"/>
      <c r="F129" s="8"/>
      <c r="G129" s="8"/>
    </row>
    <row r="130" spans="1:10">
      <c r="B130" s="125" t="s">
        <v>59</v>
      </c>
      <c r="C130" s="3" t="s">
        <v>60</v>
      </c>
      <c r="D130" s="156">
        <v>20.71</v>
      </c>
      <c r="E130" s="8"/>
      <c r="F130" s="8"/>
      <c r="G130" s="8"/>
    </row>
    <row r="131" spans="1:10">
      <c r="B131" s="125" t="s">
        <v>61</v>
      </c>
      <c r="C131" s="3" t="s">
        <v>58</v>
      </c>
      <c r="D131" s="156">
        <v>0.92</v>
      </c>
      <c r="E131" s="8"/>
      <c r="F131" s="8"/>
      <c r="G131" s="8"/>
    </row>
    <row r="132" spans="1:10">
      <c r="B132" s="125" t="s">
        <v>62</v>
      </c>
      <c r="C132" s="3" t="s">
        <v>60</v>
      </c>
      <c r="D132" s="156">
        <v>5.42</v>
      </c>
      <c r="E132" s="8"/>
      <c r="F132" s="8"/>
      <c r="G132" s="8"/>
    </row>
    <row r="133" spans="1:10">
      <c r="B133" s="125" t="s">
        <v>63</v>
      </c>
      <c r="C133" s="3" t="s">
        <v>64</v>
      </c>
      <c r="D133" s="126">
        <v>115000</v>
      </c>
      <c r="E133" s="7"/>
      <c r="F133" s="7"/>
      <c r="G133" s="7"/>
    </row>
    <row r="134" spans="1:10">
      <c r="B134" s="125" t="s">
        <v>65</v>
      </c>
      <c r="C134" s="3" t="s">
        <v>66</v>
      </c>
      <c r="D134" s="126">
        <v>19630.78</v>
      </c>
      <c r="E134" s="203">
        <f>D134*E89</f>
        <v>19630.78</v>
      </c>
      <c r="F134" s="203">
        <f>D134*F89</f>
        <v>9815.39</v>
      </c>
      <c r="G134" s="7"/>
    </row>
    <row r="135" spans="1:10">
      <c r="B135" s="125" t="s">
        <v>126</v>
      </c>
      <c r="C135" s="3"/>
      <c r="D135" s="111">
        <v>0.89510000000000001</v>
      </c>
      <c r="E135" s="6"/>
      <c r="F135" s="6"/>
      <c r="G135" s="6"/>
      <c r="H135" s="6"/>
      <c r="J135" s="6"/>
    </row>
    <row r="136" spans="1:10" ht="15.75" thickBot="1">
      <c r="B136" s="128" t="s">
        <v>127</v>
      </c>
      <c r="C136" s="117"/>
      <c r="D136" s="157">
        <v>0.10489999999999999</v>
      </c>
      <c r="E136" s="6"/>
      <c r="F136" s="6"/>
      <c r="G136" s="6"/>
      <c r="H136" s="6"/>
      <c r="J136" s="6"/>
    </row>
    <row r="137" spans="1:10">
      <c r="A137" s="153" t="s">
        <v>190</v>
      </c>
      <c r="B137" s="148" t="s">
        <v>237</v>
      </c>
      <c r="C137" s="11"/>
      <c r="D137" s="152"/>
      <c r="E137" s="11" t="s">
        <v>260</v>
      </c>
      <c r="F137" s="11"/>
      <c r="G137" s="11"/>
    </row>
    <row r="138" spans="1:10">
      <c r="B138" t="s">
        <v>215</v>
      </c>
      <c r="D138" s="7"/>
      <c r="E138" s="7"/>
      <c r="F138" s="7"/>
      <c r="G138" s="7"/>
    </row>
    <row r="139" spans="1:10">
      <c r="B139" s="11"/>
      <c r="C139" s="11"/>
      <c r="D139" s="154"/>
      <c r="E139" s="6"/>
      <c r="F139" s="6"/>
      <c r="G139" s="6"/>
      <c r="H139" s="6"/>
      <c r="J139" s="6"/>
    </row>
    <row r="140" spans="1:10" ht="15.75" thickBot="1">
      <c r="B140" s="11"/>
      <c r="C140" s="11"/>
      <c r="D140" s="154"/>
      <c r="E140" s="6"/>
      <c r="F140" s="6"/>
      <c r="G140" s="6"/>
      <c r="H140" s="6"/>
      <c r="J140" s="6"/>
    </row>
    <row r="141" spans="1:10">
      <c r="B141" s="149" t="s">
        <v>67</v>
      </c>
      <c r="C141" s="150" t="s">
        <v>66</v>
      </c>
      <c r="D141" s="175">
        <f>D134*D135</f>
        <v>17571.511178000001</v>
      </c>
      <c r="E141" s="7"/>
      <c r="F141" s="298">
        <f>F89*D141</f>
        <v>8785.7555890000003</v>
      </c>
      <c r="G141" s="7"/>
    </row>
    <row r="142" spans="1:10">
      <c r="B142" s="125" t="s">
        <v>68</v>
      </c>
      <c r="C142" s="3" t="s">
        <v>66</v>
      </c>
      <c r="D142" s="297">
        <f>D134*D136</f>
        <v>2059.2688219999995</v>
      </c>
      <c r="E142" s="7"/>
      <c r="F142" s="298">
        <f>F89*D142</f>
        <v>1029.6344109999998</v>
      </c>
      <c r="G142" s="7"/>
    </row>
    <row r="143" spans="1:10">
      <c r="B143" s="125" t="s">
        <v>331</v>
      </c>
      <c r="C143" s="3" t="s">
        <v>66</v>
      </c>
      <c r="D143" s="297">
        <f>SUM(D141:D142)</f>
        <v>19630.78</v>
      </c>
      <c r="E143" s="7"/>
      <c r="F143" s="298">
        <f>SUM(F141:F142)</f>
        <v>9815.39</v>
      </c>
      <c r="G143" s="7"/>
    </row>
    <row r="144" spans="1:10" ht="15.75" thickBot="1">
      <c r="A144" s="20"/>
      <c r="B144" s="128" t="s">
        <v>332</v>
      </c>
      <c r="C144" s="117" t="s">
        <v>333</v>
      </c>
      <c r="D144" s="270">
        <f>D143/D117</f>
        <v>408.97458333333333</v>
      </c>
      <c r="E144" s="152"/>
      <c r="F144" s="299"/>
    </row>
    <row r="145" spans="2:7" s="20" customFormat="1">
      <c r="D145" s="124"/>
    </row>
    <row r="146" spans="2:7" ht="15.75" thickBot="1"/>
    <row r="147" spans="2:7" ht="15.75" thickBot="1">
      <c r="B147" s="288" t="s">
        <v>255</v>
      </c>
      <c r="C147" s="289"/>
      <c r="D147" s="290"/>
      <c r="E147" s="8"/>
      <c r="F147" s="8"/>
      <c r="G147" s="8"/>
    </row>
    <row r="148" spans="2:7">
      <c r="B148" s="199" t="s">
        <v>72</v>
      </c>
      <c r="C148" s="150" t="s">
        <v>32</v>
      </c>
      <c r="D148" s="215">
        <v>115339</v>
      </c>
      <c r="E148" s="209">
        <f>D148*E90/D90</f>
        <v>115339</v>
      </c>
      <c r="F148" s="206">
        <f>D148*F90/D90</f>
        <v>57669.5</v>
      </c>
      <c r="G148" s="8"/>
    </row>
    <row r="149" spans="2:7">
      <c r="B149" s="125" t="s">
        <v>71</v>
      </c>
      <c r="C149" s="3" t="s">
        <v>58</v>
      </c>
      <c r="D149" s="127">
        <v>5.4999783247643901</v>
      </c>
      <c r="E149" s="210">
        <f>D149</f>
        <v>5.4999783247643901</v>
      </c>
      <c r="F149" s="131">
        <f>D149</f>
        <v>5.4999783247643901</v>
      </c>
      <c r="G149" s="8"/>
    </row>
    <row r="150" spans="2:7">
      <c r="B150" s="190" t="s">
        <v>256</v>
      </c>
      <c r="C150" s="147" t="s">
        <v>26</v>
      </c>
      <c r="D150" s="192">
        <v>58.59550561797753</v>
      </c>
      <c r="E150" s="211">
        <f>D150</f>
        <v>58.59550561797753</v>
      </c>
      <c r="F150" s="137">
        <f>D150</f>
        <v>58.59550561797753</v>
      </c>
      <c r="G150" s="8"/>
    </row>
    <row r="151" spans="2:7">
      <c r="B151" s="190" t="s">
        <v>257</v>
      </c>
      <c r="C151" s="147" t="s">
        <v>75</v>
      </c>
      <c r="D151" s="191">
        <v>13350</v>
      </c>
      <c r="E151" s="210">
        <f>D151</f>
        <v>13350</v>
      </c>
      <c r="F151" s="131">
        <f>D151/D141*F141</f>
        <v>6675</v>
      </c>
      <c r="G151" s="8"/>
    </row>
    <row r="152" spans="2:7">
      <c r="B152" s="190" t="s">
        <v>77</v>
      </c>
      <c r="C152" s="147" t="s">
        <v>26</v>
      </c>
      <c r="D152" s="192">
        <v>4.12</v>
      </c>
      <c r="E152" s="211">
        <f>D152</f>
        <v>4.12</v>
      </c>
      <c r="F152" s="137">
        <f>D152</f>
        <v>4.12</v>
      </c>
      <c r="G152" s="8"/>
    </row>
    <row r="153" spans="2:7">
      <c r="B153" s="125" t="s">
        <v>78</v>
      </c>
      <c r="C153" s="3" t="s">
        <v>75</v>
      </c>
      <c r="D153" s="156">
        <v>19080</v>
      </c>
      <c r="E153" s="210">
        <f>D153</f>
        <v>19080</v>
      </c>
      <c r="F153" s="131">
        <f>D153/D142*F142</f>
        <v>9540</v>
      </c>
      <c r="G153" s="8"/>
    </row>
    <row r="154" spans="2:7">
      <c r="B154" s="125" t="s">
        <v>82</v>
      </c>
      <c r="C154" s="3" t="s">
        <v>130</v>
      </c>
      <c r="D154" s="198">
        <v>44100</v>
      </c>
      <c r="E154" s="212">
        <v>28196.930946291599</v>
      </c>
      <c r="F154" s="207">
        <f>D154+1.75*F63*365/1000</f>
        <v>44222.001250000001</v>
      </c>
      <c r="G154" s="8"/>
    </row>
    <row r="155" spans="2:7">
      <c r="B155" s="125" t="s">
        <v>83</v>
      </c>
      <c r="C155" s="3" t="s">
        <v>131</v>
      </c>
      <c r="D155" s="156">
        <v>4</v>
      </c>
      <c r="E155" s="213">
        <v>4</v>
      </c>
      <c r="F155" s="208">
        <v>4</v>
      </c>
      <c r="G155" s="8"/>
    </row>
    <row r="156" spans="2:7">
      <c r="B156" s="125" t="s">
        <v>84</v>
      </c>
      <c r="C156" s="3"/>
      <c r="D156" s="198">
        <v>7</v>
      </c>
      <c r="E156" s="212">
        <v>4.4000000000000004</v>
      </c>
      <c r="F156" s="207">
        <v>0</v>
      </c>
      <c r="G156" s="8"/>
    </row>
    <row r="157" spans="2:7">
      <c r="B157" s="125" t="s">
        <v>85</v>
      </c>
      <c r="C157" s="3" t="s">
        <v>129</v>
      </c>
      <c r="D157" s="156">
        <v>281.75</v>
      </c>
      <c r="E157" s="213">
        <v>281.75</v>
      </c>
      <c r="F157" s="208">
        <v>281.75</v>
      </c>
      <c r="G157" s="8"/>
    </row>
    <row r="158" spans="2:7">
      <c r="B158" s="125" t="s">
        <v>87</v>
      </c>
      <c r="C158" s="3"/>
      <c r="D158" s="198">
        <v>1</v>
      </c>
      <c r="E158" s="212">
        <v>1</v>
      </c>
      <c r="F158" s="207">
        <v>0</v>
      </c>
      <c r="G158" s="8"/>
    </row>
    <row r="159" spans="2:7">
      <c r="B159" s="125" t="s">
        <v>88</v>
      </c>
      <c r="C159" s="3" t="s">
        <v>129</v>
      </c>
      <c r="D159" s="156">
        <v>100</v>
      </c>
      <c r="E159" s="213">
        <v>100</v>
      </c>
      <c r="F159" s="208">
        <v>100</v>
      </c>
      <c r="G159" s="8"/>
    </row>
    <row r="160" spans="2:7">
      <c r="B160" s="125" t="s">
        <v>90</v>
      </c>
      <c r="C160" s="3" t="s">
        <v>49</v>
      </c>
      <c r="D160" s="216">
        <f>D117</f>
        <v>48</v>
      </c>
      <c r="E160" s="212">
        <f>E117</f>
        <v>48</v>
      </c>
      <c r="F160" s="207">
        <v>0</v>
      </c>
      <c r="G160" s="8"/>
    </row>
    <row r="161" spans="1:10">
      <c r="B161" s="125" t="s">
        <v>91</v>
      </c>
      <c r="C161" s="3" t="s">
        <v>129</v>
      </c>
      <c r="D161" s="156">
        <v>2712</v>
      </c>
      <c r="E161" s="213">
        <v>2712</v>
      </c>
      <c r="F161" s="208">
        <v>2712</v>
      </c>
      <c r="G161" s="8"/>
    </row>
    <row r="162" spans="1:10">
      <c r="B162" s="125" t="s">
        <v>93</v>
      </c>
      <c r="C162" s="3"/>
      <c r="D162" s="156">
        <v>5</v>
      </c>
      <c r="E162" s="210">
        <f t="shared" ref="E162:E170" si="3">D162</f>
        <v>5</v>
      </c>
      <c r="F162" s="131">
        <f t="shared" ref="F162:F170" si="4">D162</f>
        <v>5</v>
      </c>
      <c r="G162" s="8"/>
    </row>
    <row r="163" spans="1:10">
      <c r="B163" s="125" t="s">
        <v>94</v>
      </c>
      <c r="C163" s="3"/>
      <c r="D163" s="156">
        <v>250</v>
      </c>
      <c r="E163" s="210">
        <f t="shared" si="3"/>
        <v>250</v>
      </c>
      <c r="F163" s="131">
        <f t="shared" si="4"/>
        <v>250</v>
      </c>
      <c r="G163" s="8"/>
    </row>
    <row r="164" spans="1:10">
      <c r="B164" s="125" t="s">
        <v>95</v>
      </c>
      <c r="C164" s="3"/>
      <c r="D164" s="156">
        <v>262500</v>
      </c>
      <c r="E164" s="210">
        <f t="shared" si="3"/>
        <v>262500</v>
      </c>
      <c r="F164" s="131">
        <f t="shared" si="4"/>
        <v>262500</v>
      </c>
      <c r="G164" s="8"/>
    </row>
    <row r="165" spans="1:10">
      <c r="B165" s="125" t="s">
        <v>96</v>
      </c>
      <c r="C165" s="3"/>
      <c r="D165" s="156">
        <v>24000</v>
      </c>
      <c r="E165" s="210">
        <f t="shared" si="3"/>
        <v>24000</v>
      </c>
      <c r="F165" s="131">
        <f t="shared" si="4"/>
        <v>24000</v>
      </c>
      <c r="G165" s="8"/>
    </row>
    <row r="166" spans="1:10">
      <c r="B166" s="125" t="s">
        <v>97</v>
      </c>
      <c r="C166" s="3"/>
      <c r="D166" s="156">
        <v>73000</v>
      </c>
      <c r="E166" s="210">
        <f t="shared" si="3"/>
        <v>73000</v>
      </c>
      <c r="F166" s="131">
        <f t="shared" si="4"/>
        <v>73000</v>
      </c>
      <c r="G166" s="8"/>
    </row>
    <row r="167" spans="1:10">
      <c r="B167" s="125" t="s">
        <v>98</v>
      </c>
      <c r="C167" s="3"/>
      <c r="D167" s="156">
        <v>1089182.71</v>
      </c>
      <c r="E167" s="210">
        <f t="shared" si="3"/>
        <v>1089182.71</v>
      </c>
      <c r="F167" s="131">
        <f t="shared" si="4"/>
        <v>1089182.71</v>
      </c>
      <c r="G167" s="8"/>
    </row>
    <row r="168" spans="1:10">
      <c r="B168" s="125" t="s">
        <v>99</v>
      </c>
      <c r="C168" s="3"/>
      <c r="D168" s="156">
        <v>106482.71</v>
      </c>
      <c r="E168" s="210">
        <f t="shared" si="3"/>
        <v>106482.71</v>
      </c>
      <c r="F168" s="131">
        <f t="shared" si="4"/>
        <v>106482.71</v>
      </c>
      <c r="G168" s="8"/>
    </row>
    <row r="169" spans="1:10">
      <c r="B169" s="125" t="s">
        <v>100</v>
      </c>
      <c r="C169" s="3"/>
      <c r="D169" s="156">
        <v>2218.39</v>
      </c>
      <c r="E169" s="210">
        <f t="shared" si="3"/>
        <v>2218.39</v>
      </c>
      <c r="F169" s="131">
        <f t="shared" si="4"/>
        <v>2218.39</v>
      </c>
      <c r="G169" s="8"/>
    </row>
    <row r="170" spans="1:10">
      <c r="B170" s="125" t="s">
        <v>101</v>
      </c>
      <c r="C170" s="3"/>
      <c r="D170" s="156">
        <v>1774.71</v>
      </c>
      <c r="E170" s="210">
        <f t="shared" si="3"/>
        <v>1774.71</v>
      </c>
      <c r="F170" s="131">
        <f t="shared" si="4"/>
        <v>1774.71</v>
      </c>
      <c r="G170" s="8"/>
    </row>
    <row r="171" spans="1:10" ht="15.75" thickBot="1">
      <c r="B171" s="128"/>
      <c r="C171" s="117"/>
      <c r="D171" s="129"/>
      <c r="E171" s="214"/>
      <c r="F171" s="189"/>
      <c r="G171" s="8"/>
    </row>
    <row r="172" spans="1:10">
      <c r="A172" s="153" t="s">
        <v>190</v>
      </c>
      <c r="B172" s="148" t="s">
        <v>237</v>
      </c>
      <c r="D172" s="8"/>
      <c r="E172" s="11" t="s">
        <v>260</v>
      </c>
      <c r="F172" s="8"/>
      <c r="G172" s="8"/>
    </row>
    <row r="173" spans="1:10">
      <c r="B173" s="27" t="s">
        <v>236</v>
      </c>
      <c r="D173" s="8"/>
      <c r="E173" s="8"/>
      <c r="F173" s="8"/>
      <c r="G173" s="8"/>
      <c r="H173" s="6"/>
      <c r="J173" s="6"/>
    </row>
    <row r="175" spans="1:10">
      <c r="B175" t="s">
        <v>318</v>
      </c>
    </row>
    <row r="176" spans="1:10" s="20" customFormat="1">
      <c r="B176" s="31" t="s">
        <v>137</v>
      </c>
      <c r="C176" s="31" t="s">
        <v>26</v>
      </c>
      <c r="D176" s="195">
        <f>D185+D188</f>
        <v>62.715505617977527</v>
      </c>
      <c r="E176" s="195">
        <f>E185+E188</f>
        <v>62.715505617977527</v>
      </c>
      <c r="F176" s="195">
        <f>F185+F188</f>
        <v>62.715505617977527</v>
      </c>
      <c r="G176" s="23"/>
      <c r="I176" s="21"/>
    </row>
    <row r="177" spans="1:10" s="20" customFormat="1">
      <c r="B177" s="31" t="s">
        <v>136</v>
      </c>
      <c r="C177" s="31" t="s">
        <v>75</v>
      </c>
      <c r="D177" s="195">
        <f>D192/(D185+D188)</f>
        <v>23841.338521735393</v>
      </c>
      <c r="E177" s="195">
        <f>E192/(E185+E188)</f>
        <v>23841.338521735393</v>
      </c>
      <c r="F177" s="195">
        <f>F192/(F185+F188)</f>
        <v>11920.669260867697</v>
      </c>
      <c r="G177" s="23"/>
      <c r="I177" s="21"/>
    </row>
    <row r="178" spans="1:10" s="20" customFormat="1">
      <c r="B178" s="31" t="s">
        <v>65</v>
      </c>
      <c r="C178" s="31" t="s">
        <v>32</v>
      </c>
      <c r="D178" s="196">
        <f>D134</f>
        <v>19630.78</v>
      </c>
      <c r="E178" s="196">
        <f>E134</f>
        <v>19630.78</v>
      </c>
      <c r="F178" s="196">
        <f>F134</f>
        <v>9815.39</v>
      </c>
      <c r="G178" s="23"/>
      <c r="I178" s="21"/>
      <c r="J178" s="122"/>
    </row>
    <row r="179" spans="1:10" s="20" customFormat="1">
      <c r="B179" s="31" t="s">
        <v>136</v>
      </c>
      <c r="C179" s="31" t="s">
        <v>60</v>
      </c>
      <c r="D179" s="195">
        <f>D191/D134</f>
        <v>43.852541773683981</v>
      </c>
      <c r="E179" s="195">
        <f>E191/E134</f>
        <v>43.852541773683981</v>
      </c>
      <c r="F179" s="195">
        <f>F191/F134</f>
        <v>43.852541773683981</v>
      </c>
      <c r="G179" s="23"/>
      <c r="I179" s="21"/>
      <c r="J179" s="122"/>
    </row>
    <row r="180" spans="1:10">
      <c r="A180" s="20"/>
    </row>
    <row r="181" spans="1:10">
      <c r="A181" s="20"/>
      <c r="B181" t="s">
        <v>69</v>
      </c>
    </row>
    <row r="182" spans="1:10" s="20" customFormat="1">
      <c r="B182" s="193" t="s">
        <v>70</v>
      </c>
      <c r="C182" s="193" t="s">
        <v>32</v>
      </c>
      <c r="D182" s="194">
        <f t="shared" ref="D182:F183" si="5">D148</f>
        <v>115339</v>
      </c>
      <c r="E182" s="194">
        <f t="shared" si="5"/>
        <v>115339</v>
      </c>
      <c r="F182" s="194">
        <f t="shared" si="5"/>
        <v>57669.5</v>
      </c>
      <c r="G182" s="121"/>
      <c r="I182" s="274">
        <f>E182/F182-1</f>
        <v>1</v>
      </c>
    </row>
    <row r="183" spans="1:10" s="20" customFormat="1">
      <c r="B183" s="193" t="s">
        <v>71</v>
      </c>
      <c r="C183" s="193" t="s">
        <v>58</v>
      </c>
      <c r="D183" s="195">
        <f t="shared" si="5"/>
        <v>5.4999783247643901</v>
      </c>
      <c r="E183" s="195">
        <f t="shared" si="5"/>
        <v>5.4999783247643901</v>
      </c>
      <c r="F183" s="195">
        <f t="shared" si="5"/>
        <v>5.4999783247643901</v>
      </c>
      <c r="G183" s="23"/>
    </row>
    <row r="184" spans="1:10" s="20" customFormat="1">
      <c r="B184" s="193" t="s">
        <v>72</v>
      </c>
      <c r="C184" s="193" t="s">
        <v>53</v>
      </c>
      <c r="D184" s="195">
        <f>D182*D183</f>
        <v>634362</v>
      </c>
      <c r="E184" s="195">
        <f>E182*E183</f>
        <v>634362</v>
      </c>
      <c r="F184" s="195">
        <f>F182*F183</f>
        <v>317181</v>
      </c>
      <c r="G184" s="23"/>
      <c r="I184" s="274">
        <f>E184/F184-1</f>
        <v>1</v>
      </c>
    </row>
    <row r="185" spans="1:10">
      <c r="A185" s="20"/>
      <c r="B185" s="193" t="s">
        <v>73</v>
      </c>
      <c r="C185" s="193" t="s">
        <v>26</v>
      </c>
      <c r="D185" s="194">
        <f t="shared" ref="D185:F186" si="6">D150</f>
        <v>58.59550561797753</v>
      </c>
      <c r="E185" s="194">
        <f t="shared" si="6"/>
        <v>58.59550561797753</v>
      </c>
      <c r="F185" s="194">
        <f t="shared" si="6"/>
        <v>58.59550561797753</v>
      </c>
      <c r="G185" s="7"/>
      <c r="J185" s="7"/>
    </row>
    <row r="186" spans="1:10">
      <c r="A186" s="20"/>
      <c r="B186" s="193" t="s">
        <v>74</v>
      </c>
      <c r="C186" s="193" t="s">
        <v>75</v>
      </c>
      <c r="D186" s="195">
        <f t="shared" si="6"/>
        <v>13350</v>
      </c>
      <c r="E186" s="195">
        <f t="shared" si="6"/>
        <v>13350</v>
      </c>
      <c r="F186" s="195">
        <f t="shared" si="6"/>
        <v>6675</v>
      </c>
      <c r="G186" s="5"/>
      <c r="H186" s="8"/>
      <c r="J186" s="5"/>
    </row>
    <row r="187" spans="1:10">
      <c r="A187" s="20"/>
      <c r="B187" s="193" t="s">
        <v>76</v>
      </c>
      <c r="C187" s="193" t="s">
        <v>53</v>
      </c>
      <c r="D187" s="195">
        <f>D185*D186</f>
        <v>782250</v>
      </c>
      <c r="E187" s="195">
        <f>E185*E186</f>
        <v>782250</v>
      </c>
      <c r="F187" s="195">
        <f>F185*F186</f>
        <v>391125</v>
      </c>
      <c r="G187" s="5"/>
      <c r="H187" s="8"/>
      <c r="I187" s="274">
        <f>E187/F187-1</f>
        <v>1</v>
      </c>
      <c r="J187" s="5"/>
    </row>
    <row r="188" spans="1:10">
      <c r="A188" s="20"/>
      <c r="B188" s="193" t="s">
        <v>77</v>
      </c>
      <c r="C188" s="193" t="s">
        <v>26</v>
      </c>
      <c r="D188" s="194">
        <f t="shared" ref="D188:F189" si="7">D152</f>
        <v>4.12</v>
      </c>
      <c r="E188" s="194">
        <f t="shared" si="7"/>
        <v>4.12</v>
      </c>
      <c r="F188" s="194">
        <f t="shared" si="7"/>
        <v>4.12</v>
      </c>
      <c r="G188" s="7"/>
      <c r="J188" s="7"/>
    </row>
    <row r="189" spans="1:10">
      <c r="A189" s="20"/>
      <c r="B189" s="193" t="s">
        <v>78</v>
      </c>
      <c r="C189" s="193" t="s">
        <v>75</v>
      </c>
      <c r="D189" s="195">
        <f t="shared" si="7"/>
        <v>19080</v>
      </c>
      <c r="E189" s="195">
        <f t="shared" si="7"/>
        <v>19080</v>
      </c>
      <c r="F189" s="195">
        <f t="shared" si="7"/>
        <v>9540</v>
      </c>
      <c r="G189" s="5"/>
      <c r="J189" s="5"/>
    </row>
    <row r="190" spans="1:10">
      <c r="A190" s="20"/>
      <c r="B190" s="193" t="s">
        <v>79</v>
      </c>
      <c r="C190" s="193" t="s">
        <v>53</v>
      </c>
      <c r="D190" s="195">
        <f>D188*D189</f>
        <v>78609.600000000006</v>
      </c>
      <c r="E190" s="195">
        <f>E188*E189</f>
        <v>78609.600000000006</v>
      </c>
      <c r="F190" s="195">
        <f>F188*F189</f>
        <v>39304.800000000003</v>
      </c>
      <c r="G190" s="5"/>
      <c r="J190" s="5"/>
    </row>
    <row r="191" spans="1:10">
      <c r="A191" s="20"/>
      <c r="B191" s="193" t="s">
        <v>258</v>
      </c>
      <c r="C191" s="193" t="s">
        <v>53</v>
      </c>
      <c r="D191" s="195">
        <f>D187+D190</f>
        <v>860859.6</v>
      </c>
      <c r="E191" s="195">
        <f>E187+E190</f>
        <v>860859.6</v>
      </c>
      <c r="F191" s="195">
        <f>F187+F190</f>
        <v>430429.8</v>
      </c>
      <c r="G191" s="5"/>
      <c r="I191" s="274">
        <f>E191/F191-1</f>
        <v>1</v>
      </c>
      <c r="J191" s="5"/>
    </row>
    <row r="192" spans="1:10">
      <c r="A192" s="20"/>
      <c r="B192" s="174" t="s">
        <v>80</v>
      </c>
      <c r="C192" s="31" t="s">
        <v>53</v>
      </c>
      <c r="D192" s="195">
        <f>D184+D187+D190</f>
        <v>1495221.6</v>
      </c>
      <c r="E192" s="195">
        <f>E184+E187+E190</f>
        <v>1495221.6</v>
      </c>
      <c r="F192" s="195">
        <f>F184+F187+F190</f>
        <v>747610.8</v>
      </c>
      <c r="G192" s="23"/>
      <c r="H192" t="s">
        <v>234</v>
      </c>
      <c r="I192" s="274">
        <f>E192/F192-1</f>
        <v>1</v>
      </c>
    </row>
    <row r="193" spans="1:9" s="152" customFormat="1">
      <c r="D193" s="200"/>
      <c r="E193" s="200"/>
      <c r="F193" s="200"/>
      <c r="G193" s="200"/>
      <c r="I193" s="201"/>
    </row>
    <row r="194" spans="1:9">
      <c r="A194" s="20"/>
      <c r="B194" t="s">
        <v>81</v>
      </c>
      <c r="G194" s="20"/>
    </row>
    <row r="195" spans="1:9">
      <c r="B195" s="31" t="s">
        <v>259</v>
      </c>
      <c r="C195" s="31"/>
      <c r="D195" s="195">
        <f>D154*D155</f>
        <v>176400</v>
      </c>
      <c r="E195" s="195">
        <f>E154*E155</f>
        <v>112787.7237851664</v>
      </c>
      <c r="F195" s="195">
        <f>F154*F155</f>
        <v>176888.005</v>
      </c>
      <c r="G195" s="23"/>
    </row>
    <row r="196" spans="1:9">
      <c r="B196" s="31" t="s">
        <v>86</v>
      </c>
      <c r="C196" s="31"/>
      <c r="D196" s="195">
        <f>D156*D157*D117</f>
        <v>94668</v>
      </c>
      <c r="E196" s="195">
        <f>E156*E157*E117</f>
        <v>59505.600000000006</v>
      </c>
      <c r="F196" s="195">
        <f>F156*F157*F117</f>
        <v>0</v>
      </c>
      <c r="G196" s="23"/>
      <c r="I196" s="20"/>
    </row>
    <row r="197" spans="1:9">
      <c r="B197" s="31" t="s">
        <v>89</v>
      </c>
      <c r="C197" s="31"/>
      <c r="D197" s="195">
        <f>D158*D159*D117</f>
        <v>4800</v>
      </c>
      <c r="E197" s="195">
        <f>E158*E159*E117</f>
        <v>4800</v>
      </c>
      <c r="F197" s="195">
        <f>F158*F159*F117</f>
        <v>0</v>
      </c>
      <c r="G197" s="23"/>
    </row>
    <row r="198" spans="1:9">
      <c r="B198" s="31" t="s">
        <v>92</v>
      </c>
      <c r="C198" s="31"/>
      <c r="D198" s="195">
        <f>D160*D161</f>
        <v>130176</v>
      </c>
      <c r="E198" s="195">
        <f>E160*E161</f>
        <v>130176</v>
      </c>
      <c r="F198" s="195">
        <f>F160*F161</f>
        <v>0</v>
      </c>
      <c r="G198" s="23"/>
      <c r="H198" s="8"/>
    </row>
    <row r="199" spans="1:9">
      <c r="B199" s="202" t="s">
        <v>261</v>
      </c>
      <c r="C199" s="31"/>
      <c r="D199" s="197">
        <f>SUM(D195:D198)</f>
        <v>406044</v>
      </c>
      <c r="E199" s="197">
        <f>SUM(E195:E198)</f>
        <v>307269.32378516637</v>
      </c>
      <c r="F199" s="197">
        <f>SUM(F195:F198)</f>
        <v>176888.005</v>
      </c>
      <c r="G199" s="21"/>
      <c r="I199" s="285"/>
    </row>
    <row r="200" spans="1:9" s="20" customFormat="1">
      <c r="D200" s="21"/>
      <c r="E200" s="21"/>
      <c r="F200" s="21"/>
      <c r="G200" s="21"/>
    </row>
    <row r="201" spans="1:9" s="20" customFormat="1">
      <c r="B201" s="31" t="s">
        <v>261</v>
      </c>
      <c r="C201" s="31"/>
      <c r="D201" s="197">
        <f>D199</f>
        <v>406044</v>
      </c>
      <c r="E201" s="197">
        <f>E199</f>
        <v>307269.32378516637</v>
      </c>
      <c r="F201" s="197">
        <f>F199</f>
        <v>176888.005</v>
      </c>
      <c r="G201" s="21"/>
    </row>
    <row r="202" spans="1:9">
      <c r="B202" s="31" t="s">
        <v>95</v>
      </c>
      <c r="C202" s="3"/>
      <c r="D202" s="195">
        <f t="shared" ref="D202:F204" si="8">D164</f>
        <v>262500</v>
      </c>
      <c r="E202" s="195">
        <f t="shared" si="8"/>
        <v>262500</v>
      </c>
      <c r="F202" s="195">
        <f t="shared" si="8"/>
        <v>262500</v>
      </c>
      <c r="G202" s="23"/>
    </row>
    <row r="203" spans="1:9">
      <c r="B203" s="31" t="s">
        <v>96</v>
      </c>
      <c r="C203" s="3"/>
      <c r="D203" s="195">
        <f t="shared" si="8"/>
        <v>24000</v>
      </c>
      <c r="E203" s="195">
        <f t="shared" si="8"/>
        <v>24000</v>
      </c>
      <c r="F203" s="195">
        <f t="shared" si="8"/>
        <v>24000</v>
      </c>
      <c r="G203" s="23"/>
    </row>
    <row r="204" spans="1:9">
      <c r="B204" s="31" t="s">
        <v>97</v>
      </c>
      <c r="C204" s="3"/>
      <c r="D204" s="195">
        <f t="shared" si="8"/>
        <v>73000</v>
      </c>
      <c r="E204" s="195">
        <f t="shared" si="8"/>
        <v>73000</v>
      </c>
      <c r="F204" s="195">
        <f t="shared" si="8"/>
        <v>73000</v>
      </c>
      <c r="G204" s="23"/>
    </row>
    <row r="205" spans="1:9">
      <c r="B205" s="174" t="s">
        <v>262</v>
      </c>
      <c r="C205" s="3" t="s">
        <v>263</v>
      </c>
      <c r="D205" s="195">
        <f>SUM(D201:D204)</f>
        <v>765544</v>
      </c>
      <c r="E205" s="195">
        <f>SUM(E201:E204)</f>
        <v>666769.32378516637</v>
      </c>
      <c r="F205" s="195">
        <f>SUM(F201:F204)</f>
        <v>536388.005</v>
      </c>
      <c r="G205" s="23"/>
      <c r="H205" s="20" t="s">
        <v>235</v>
      </c>
    </row>
    <row r="206" spans="1:9">
      <c r="G206" s="20"/>
    </row>
    <row r="207" spans="1:9">
      <c r="B207" s="3" t="s">
        <v>271</v>
      </c>
      <c r="C207" s="3"/>
      <c r="D207" s="283">
        <v>0</v>
      </c>
      <c r="E207" s="284">
        <f>D207</f>
        <v>0</v>
      </c>
      <c r="F207" s="284">
        <f>D207</f>
        <v>0</v>
      </c>
      <c r="G207" s="20"/>
    </row>
    <row r="208" spans="1:9">
      <c r="B208" s="31" t="s">
        <v>265</v>
      </c>
      <c r="C208" s="3"/>
      <c r="D208" s="195">
        <f>D120/D25*D207</f>
        <v>0</v>
      </c>
      <c r="E208" s="195">
        <f>E120/E25*E207</f>
        <v>0</v>
      </c>
      <c r="F208" s="195">
        <f>F120/F25*F207</f>
        <v>0</v>
      </c>
      <c r="G208" s="22"/>
      <c r="I208" s="7"/>
    </row>
    <row r="209" spans="1:9">
      <c r="B209" s="31" t="s">
        <v>51</v>
      </c>
      <c r="C209" s="3"/>
      <c r="D209" s="195">
        <f>D121/D25</f>
        <v>123000</v>
      </c>
      <c r="E209" s="195">
        <f>E121/E25</f>
        <v>123000</v>
      </c>
      <c r="F209" s="195">
        <f>F121/F25</f>
        <v>6150</v>
      </c>
      <c r="G209" s="23"/>
      <c r="H209" s="8"/>
      <c r="I209" s="8"/>
    </row>
    <row r="210" spans="1:9">
      <c r="B210" s="31" t="s">
        <v>8</v>
      </c>
      <c r="C210" s="3"/>
      <c r="D210" s="195">
        <f>D122/D27</f>
        <v>50000</v>
      </c>
      <c r="E210" s="195">
        <f>E122/E27</f>
        <v>50000</v>
      </c>
      <c r="F210" s="195">
        <f>F122/F27</f>
        <v>2500</v>
      </c>
      <c r="G210" s="23"/>
      <c r="I210" s="8"/>
    </row>
    <row r="211" spans="1:9">
      <c r="B211" s="31" t="s">
        <v>54</v>
      </c>
      <c r="C211" s="3"/>
      <c r="D211" s="195">
        <f>D123/D29</f>
        <v>189200</v>
      </c>
      <c r="E211" s="195">
        <f>E123/E29</f>
        <v>189200</v>
      </c>
      <c r="F211" s="195">
        <f>F123/F29</f>
        <v>189200</v>
      </c>
      <c r="G211" s="23"/>
    </row>
    <row r="212" spans="1:9">
      <c r="B212" s="174" t="s">
        <v>143</v>
      </c>
      <c r="C212" s="3" t="s">
        <v>264</v>
      </c>
      <c r="D212" s="195">
        <f>SUM(D208:D211)</f>
        <v>362200</v>
      </c>
      <c r="E212" s="195">
        <f>SUM(E208:E211)</f>
        <v>362200</v>
      </c>
      <c r="F212" s="195">
        <f>SUM(F208:F211)</f>
        <v>197850</v>
      </c>
      <c r="G212" s="23"/>
      <c r="H212" s="20" t="s">
        <v>233</v>
      </c>
    </row>
    <row r="213" spans="1:9">
      <c r="A213" s="20"/>
      <c r="B213" s="20"/>
      <c r="C213" s="20"/>
      <c r="G213" s="20"/>
    </row>
    <row r="214" spans="1:9">
      <c r="A214" s="20"/>
      <c r="B214" s="31" t="s">
        <v>98</v>
      </c>
      <c r="C214" s="31"/>
      <c r="D214" s="197">
        <f>D192-D199</f>
        <v>1089177.6000000001</v>
      </c>
      <c r="E214" s="197">
        <f>E192-E199</f>
        <v>1187952.2762148338</v>
      </c>
      <c r="F214" s="197">
        <f>F192-F199</f>
        <v>570722.79500000004</v>
      </c>
      <c r="G214" s="21"/>
    </row>
    <row r="215" spans="1:9">
      <c r="A215" s="20"/>
      <c r="B215" s="31" t="s">
        <v>99</v>
      </c>
      <c r="C215" s="31"/>
      <c r="D215" s="229">
        <f>D192-D205-D212</f>
        <v>367477.60000000009</v>
      </c>
      <c r="E215" s="229">
        <f>E192-E205-E212</f>
        <v>466252.27621483372</v>
      </c>
      <c r="F215" s="229">
        <f>F192-F205-F212</f>
        <v>13372.795000000042</v>
      </c>
      <c r="G215" s="21"/>
    </row>
    <row r="216" spans="1:9">
      <c r="A216" s="20"/>
      <c r="B216" s="31" t="s">
        <v>100</v>
      </c>
      <c r="C216" s="31"/>
      <c r="D216" s="197">
        <f>D215/D160</f>
        <v>7655.7833333333356</v>
      </c>
      <c r="E216" s="197">
        <f>E215/E160</f>
        <v>9713.5890878090358</v>
      </c>
      <c r="F216" s="197">
        <f>F215/F117</f>
        <v>13.280772527159353</v>
      </c>
      <c r="G216" s="8"/>
    </row>
    <row r="217" spans="1:9">
      <c r="A217" s="20"/>
      <c r="B217" s="31" t="s">
        <v>101</v>
      </c>
      <c r="C217" s="31"/>
      <c r="D217" s="197">
        <f>D215/D58</f>
        <v>6121.7698407409889</v>
      </c>
      <c r="E217" s="197">
        <f>E215/E58</f>
        <v>7770.8712702472285</v>
      </c>
      <c r="F217" s="197">
        <f>F215/F58</f>
        <v>222.87991666666736</v>
      </c>
      <c r="G217" s="8"/>
      <c r="H217" s="7"/>
    </row>
    <row r="218" spans="1:9">
      <c r="A218" s="20"/>
      <c r="C218" s="22"/>
      <c r="D218" s="22"/>
      <c r="E218" s="22"/>
      <c r="F218" s="22"/>
      <c r="G218" s="8"/>
    </row>
    <row r="219" spans="1:9">
      <c r="B219" s="31" t="s">
        <v>189</v>
      </c>
      <c r="C219" s="3" t="s">
        <v>198</v>
      </c>
      <c r="D219" s="196">
        <f>D117/SUM(D66:D67)</f>
        <v>0.47669696671761363</v>
      </c>
      <c r="E219" s="196">
        <f>E117/SUM(E66:E67)</f>
        <v>0.47669696671761363</v>
      </c>
      <c r="F219" s="300">
        <v>10</v>
      </c>
      <c r="G219" s="8"/>
    </row>
    <row r="220" spans="1:9">
      <c r="B220" s="152" t="s">
        <v>5</v>
      </c>
      <c r="C220" s="20" t="s">
        <v>113</v>
      </c>
      <c r="D220" s="22">
        <f>1/D219</f>
        <v>2.0977687500000002</v>
      </c>
      <c r="E220" s="22">
        <f t="shared" ref="E220:F220" si="9">1/E219</f>
        <v>2.0977687500000002</v>
      </c>
      <c r="F220" s="22">
        <f t="shared" si="9"/>
        <v>0.1</v>
      </c>
      <c r="G220" s="8"/>
    </row>
    <row r="221" spans="1:9">
      <c r="B221" s="152" t="s">
        <v>5</v>
      </c>
      <c r="C221" s="20" t="s">
        <v>329</v>
      </c>
      <c r="D221" s="22">
        <f>D220*$D$74</f>
        <v>1.7936430750000001</v>
      </c>
      <c r="E221" s="22">
        <f t="shared" ref="E221:F221" si="10">E220*$D$74</f>
        <v>1.7936430750000001</v>
      </c>
      <c r="F221" s="22">
        <f t="shared" si="10"/>
        <v>8.5502421322655328E-2</v>
      </c>
      <c r="G221" s="8"/>
    </row>
    <row r="222" spans="1:9">
      <c r="B222" s="20"/>
      <c r="C222" s="20"/>
      <c r="D222" s="22"/>
      <c r="E222" s="22"/>
      <c r="F222" s="22"/>
      <c r="G222" s="8"/>
    </row>
    <row r="223" spans="1:9">
      <c r="B223" s="11" t="s">
        <v>272</v>
      </c>
      <c r="D223" s="8"/>
      <c r="E223" s="8"/>
      <c r="F223" s="8"/>
      <c r="G223" s="8"/>
    </row>
    <row r="224" spans="1:9">
      <c r="D224" s="225"/>
      <c r="E224" s="8"/>
      <c r="F224" s="8"/>
      <c r="G224" s="8"/>
    </row>
    <row r="225" spans="1:6">
      <c r="B225" t="s">
        <v>142</v>
      </c>
    </row>
    <row r="226" spans="1:6">
      <c r="A226" t="s">
        <v>102</v>
      </c>
      <c r="B226" s="1" t="s">
        <v>132</v>
      </c>
    </row>
    <row r="227" spans="1:6">
      <c r="B227" s="10" t="s">
        <v>138</v>
      </c>
      <c r="C227" s="11" t="s">
        <v>260</v>
      </c>
    </row>
    <row r="228" spans="1:6">
      <c r="B228" s="10" t="s">
        <v>139</v>
      </c>
      <c r="C228" s="11" t="s">
        <v>260</v>
      </c>
    </row>
    <row r="229" spans="1:6">
      <c r="B229" s="1" t="s">
        <v>140</v>
      </c>
    </row>
    <row r="230" spans="1:6">
      <c r="B230" s="1" t="s">
        <v>141</v>
      </c>
    </row>
    <row r="231" spans="1:6">
      <c r="B231" s="1" t="s">
        <v>133</v>
      </c>
    </row>
    <row r="232" spans="1:6">
      <c r="B232" s="1" t="s">
        <v>134</v>
      </c>
    </row>
    <row r="233" spans="1:6">
      <c r="B233" s="1" t="s">
        <v>135</v>
      </c>
    </row>
    <row r="237" spans="1:6" s="24" customFormat="1"/>
    <row r="238" spans="1:6" s="20" customFormat="1"/>
    <row r="240" spans="1:6">
      <c r="B240" t="s">
        <v>159</v>
      </c>
      <c r="D240" t="s">
        <v>163</v>
      </c>
      <c r="E240" t="s">
        <v>162</v>
      </c>
      <c r="F240" t="s">
        <v>161</v>
      </c>
    </row>
    <row r="241" spans="2:8">
      <c r="B241" t="s">
        <v>65</v>
      </c>
      <c r="C241" t="s">
        <v>130</v>
      </c>
      <c r="D241">
        <v>10000</v>
      </c>
      <c r="E241">
        <v>10000</v>
      </c>
      <c r="F241">
        <v>10000</v>
      </c>
    </row>
    <row r="242" spans="2:8">
      <c r="B242" t="s">
        <v>160</v>
      </c>
      <c r="C242" t="s">
        <v>49</v>
      </c>
      <c r="D242">
        <v>12177</v>
      </c>
      <c r="E242">
        <v>54795</v>
      </c>
      <c r="F242">
        <v>148093</v>
      </c>
    </row>
    <row r="243" spans="2:8">
      <c r="B243" t="s">
        <v>164</v>
      </c>
      <c r="C243" t="s">
        <v>165</v>
      </c>
      <c r="D243" s="25">
        <f>D241/D242</f>
        <v>0.82122033341545542</v>
      </c>
      <c r="E243" s="25">
        <f>E241/E242</f>
        <v>0.18249840313897253</v>
      </c>
      <c r="F243" s="25">
        <f>F241/F242</f>
        <v>6.7525136231962352E-2</v>
      </c>
    </row>
    <row r="244" spans="2:8">
      <c r="B244" t="s">
        <v>166</v>
      </c>
      <c r="C244" t="s">
        <v>167</v>
      </c>
      <c r="D244">
        <f>D242/D241</f>
        <v>1.2177</v>
      </c>
      <c r="E244">
        <f>E242/E241</f>
        <v>5.4794999999999998</v>
      </c>
      <c r="F244">
        <f>F242/F241</f>
        <v>14.8093</v>
      </c>
    </row>
    <row r="245" spans="2:8">
      <c r="B245" t="s">
        <v>5</v>
      </c>
      <c r="C245" t="s">
        <v>113</v>
      </c>
      <c r="D245">
        <v>3</v>
      </c>
      <c r="E245">
        <v>1</v>
      </c>
      <c r="F245">
        <v>0.5</v>
      </c>
    </row>
    <row r="246" spans="2:8">
      <c r="D246">
        <f>D242*D245</f>
        <v>36531</v>
      </c>
      <c r="F246">
        <f>F242*F245</f>
        <v>74046.5</v>
      </c>
      <c r="H246">
        <f>F246/D246</f>
        <v>2.0269497139415837</v>
      </c>
    </row>
    <row r="247" spans="2:8">
      <c r="B247" t="s">
        <v>168</v>
      </c>
      <c r="C247" t="s">
        <v>169</v>
      </c>
      <c r="D247">
        <v>1</v>
      </c>
      <c r="E247">
        <v>1</v>
      </c>
      <c r="F247">
        <v>1</v>
      </c>
    </row>
    <row r="248" spans="2:8">
      <c r="B248" t="s">
        <v>164</v>
      </c>
      <c r="C248" t="s">
        <v>165</v>
      </c>
      <c r="D248" s="28">
        <f>(D134*D247/1000)/D250</f>
        <v>0.40897458333333331</v>
      </c>
      <c r="E248" s="28">
        <f>(E178*E247/1000)/E117</f>
        <v>0.40897458333333331</v>
      </c>
      <c r="F248" s="28">
        <f>(F178*F247/1000)/F117</f>
        <v>9.7478471669799945E-3</v>
      </c>
      <c r="G248" t="s">
        <v>173</v>
      </c>
    </row>
    <row r="249" spans="2:8">
      <c r="B249" s="12" t="s">
        <v>118</v>
      </c>
      <c r="C249" s="11" t="s">
        <v>27</v>
      </c>
      <c r="D249" s="13">
        <f>D71</f>
        <v>145.15470000000002</v>
      </c>
      <c r="E249" s="13">
        <f>D249</f>
        <v>145.15470000000002</v>
      </c>
      <c r="F249" s="13">
        <f>E249</f>
        <v>145.15470000000002</v>
      </c>
    </row>
    <row r="250" spans="2:8">
      <c r="B250" t="s">
        <v>48</v>
      </c>
      <c r="C250" t="s">
        <v>49</v>
      </c>
      <c r="D250" s="7">
        <f>D117</f>
        <v>48</v>
      </c>
      <c r="E250" s="7">
        <f>E117</f>
        <v>48</v>
      </c>
      <c r="F250" s="7">
        <f>F117</f>
        <v>1006.9290000000001</v>
      </c>
    </row>
    <row r="251" spans="2:8">
      <c r="B251" t="s">
        <v>5</v>
      </c>
      <c r="C251" t="s">
        <v>113</v>
      </c>
      <c r="D251" s="9">
        <f>D249/D250</f>
        <v>3.0240562500000006</v>
      </c>
      <c r="E251" s="9">
        <f>E249/E250</f>
        <v>3.0240562500000006</v>
      </c>
      <c r="F251" s="9">
        <f>F249/F250</f>
        <v>0.14415584415584418</v>
      </c>
    </row>
    <row r="252" spans="2:8">
      <c r="B252" t="s">
        <v>28</v>
      </c>
      <c r="C252" t="s">
        <v>28</v>
      </c>
      <c r="D252" s="9">
        <f>D63/D71</f>
        <v>1.3158375168010403</v>
      </c>
      <c r="E252" s="9"/>
      <c r="F252" s="9"/>
    </row>
    <row r="253" spans="2:8">
      <c r="B253" t="s">
        <v>152</v>
      </c>
      <c r="C253" t="s">
        <v>198</v>
      </c>
      <c r="D253" s="9">
        <f>1/D251</f>
        <v>0.33068167961492112</v>
      </c>
      <c r="E253" s="9">
        <f>1/E251</f>
        <v>0.33068167961492112</v>
      </c>
      <c r="F253" s="9">
        <f>1/F251</f>
        <v>6.9369369369369362</v>
      </c>
    </row>
    <row r="254" spans="2:8">
      <c r="D254" s="9"/>
      <c r="E254" s="9"/>
      <c r="F254" s="9"/>
    </row>
    <row r="256" spans="2:8" s="24" customFormat="1"/>
    <row r="258" spans="2:6">
      <c r="B258" s="30" t="s">
        <v>174</v>
      </c>
      <c r="C258" s="287" t="s">
        <v>170</v>
      </c>
      <c r="D258" s="287"/>
      <c r="E258" s="287"/>
    </row>
    <row r="259" spans="2:6">
      <c r="B259" s="30"/>
      <c r="C259" s="29" t="s">
        <v>171</v>
      </c>
      <c r="D259" s="29" t="s">
        <v>172</v>
      </c>
      <c r="E259" s="29" t="s">
        <v>56</v>
      </c>
    </row>
    <row r="260" spans="2:6">
      <c r="B260" s="7" t="s">
        <v>26</v>
      </c>
      <c r="C260" s="7">
        <v>2103645</v>
      </c>
      <c r="D260" s="7">
        <v>284766</v>
      </c>
      <c r="E260" s="7">
        <v>2388411</v>
      </c>
    </row>
    <row r="261" spans="2:6">
      <c r="B261" t="s">
        <v>175</v>
      </c>
      <c r="C261" s="7">
        <f>C260/$D$252</f>
        <v>1598711.8266047123</v>
      </c>
      <c r="D261" s="7">
        <f>D260/$D$252</f>
        <v>216414.2581162304</v>
      </c>
      <c r="E261" s="7">
        <f>E260/$D$252</f>
        <v>1815126.0847209427</v>
      </c>
    </row>
    <row r="262" spans="2:6">
      <c r="B262" t="s">
        <v>176</v>
      </c>
      <c r="C262" s="7">
        <f>C261/$D$251</f>
        <v>528664.71204188478</v>
      </c>
      <c r="D262" s="7">
        <f>D261/$D$251</f>
        <v>71564.230366492149</v>
      </c>
      <c r="E262" s="7">
        <f>E261/$D$251</f>
        <v>600228.94240837696</v>
      </c>
      <c r="F262" s="7">
        <f>E261/D251</f>
        <v>600228.94240837696</v>
      </c>
    </row>
    <row r="263" spans="2:6">
      <c r="B263" t="s">
        <v>177</v>
      </c>
      <c r="C263" s="7">
        <f>C261/$F$251</f>
        <v>11090163.121492147</v>
      </c>
      <c r="D263" s="7">
        <f>D261/$F$251</f>
        <v>1501252.0608062828</v>
      </c>
      <c r="E263" s="7">
        <f>E261/$F$251</f>
        <v>12591415.182298429</v>
      </c>
    </row>
    <row r="265" spans="2:6" s="24" customFormat="1"/>
    <row r="268" spans="2:6">
      <c r="B268" s="29"/>
      <c r="C268" s="7"/>
      <c r="D268" s="7"/>
      <c r="E268" s="7"/>
      <c r="F268" s="7"/>
    </row>
    <row r="269" spans="2:6">
      <c r="B269" s="29"/>
      <c r="C269" s="7"/>
      <c r="D269" s="7"/>
      <c r="E269" s="7"/>
      <c r="F269" s="7"/>
    </row>
    <row r="270" spans="2:6">
      <c r="B270" s="29"/>
      <c r="C270" s="7"/>
      <c r="D270" s="7"/>
      <c r="E270" s="7"/>
      <c r="F270" s="7"/>
    </row>
  </sheetData>
  <mergeCells count="4">
    <mergeCell ref="C258:E258"/>
    <mergeCell ref="B34:D34"/>
    <mergeCell ref="B116:D116"/>
    <mergeCell ref="B147:D147"/>
  </mergeCells>
  <pageMargins left="0.7" right="0.7" top="0.75" bottom="0.75" header="0.3" footer="0.3"/>
  <pageSetup paperSize="9" orientation="portrait" horizontalDpi="0" verticalDpi="0" r:id="rId1"/>
  <ignoredErrors>
    <ignoredError sqref="D1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A9B9-B5CE-4C43-81B0-B8467F551C9D}">
  <dimension ref="C2:Q32"/>
  <sheetViews>
    <sheetView topLeftCell="E1" zoomScaleNormal="100" workbookViewId="0">
      <selection activeCell="G2" sqref="G2"/>
    </sheetView>
  </sheetViews>
  <sheetFormatPr baseColWidth="10" defaultRowHeight="15"/>
  <cols>
    <col min="3" max="3" width="41.85546875" customWidth="1"/>
    <col min="4" max="4" width="17" customWidth="1"/>
    <col min="8" max="8" width="41.85546875" customWidth="1"/>
    <col min="9" max="9" width="17" customWidth="1"/>
    <col min="11" max="11" width="11.42578125" customWidth="1"/>
    <col min="13" max="13" width="11.42578125" customWidth="1"/>
    <col min="15" max="15" width="14.85546875" customWidth="1"/>
    <col min="16" max="16" width="13.5703125" bestFit="1" customWidth="1"/>
    <col min="17" max="17" width="15.5703125" bestFit="1" customWidth="1"/>
  </cols>
  <sheetData>
    <row r="2" spans="3:17">
      <c r="H2" s="306"/>
      <c r="I2" s="306"/>
      <c r="J2" s="306"/>
      <c r="K2" s="328" t="s">
        <v>372</v>
      </c>
      <c r="L2" s="306" t="s">
        <v>319</v>
      </c>
      <c r="M2" s="328" t="s">
        <v>372</v>
      </c>
      <c r="N2" t="s">
        <v>319</v>
      </c>
    </row>
    <row r="3" spans="3:17">
      <c r="H3" s="306"/>
      <c r="I3" s="306"/>
      <c r="J3" s="306"/>
      <c r="K3" s="329" t="s">
        <v>371</v>
      </c>
      <c r="L3" s="306"/>
      <c r="M3" s="329" t="s">
        <v>371</v>
      </c>
    </row>
    <row r="4" spans="3:17">
      <c r="C4" s="245" t="s">
        <v>156</v>
      </c>
      <c r="D4" s="245" t="s">
        <v>155</v>
      </c>
      <c r="E4" s="271" t="s">
        <v>335</v>
      </c>
      <c r="F4" s="271" t="s">
        <v>163</v>
      </c>
      <c r="H4" s="330" t="s">
        <v>156</v>
      </c>
      <c r="I4" s="330" t="s">
        <v>155</v>
      </c>
      <c r="J4" s="331" t="s">
        <v>370</v>
      </c>
      <c r="K4" s="332"/>
      <c r="L4" s="331" t="s">
        <v>380</v>
      </c>
      <c r="M4" s="332"/>
    </row>
    <row r="5" spans="3:17">
      <c r="C5" s="3" t="s">
        <v>189</v>
      </c>
      <c r="D5" s="3" t="s">
        <v>198</v>
      </c>
      <c r="E5" s="308">
        <v>2</v>
      </c>
      <c r="F5" s="308">
        <f>1/3</f>
        <v>0.33333333333333331</v>
      </c>
      <c r="H5" s="332" t="s">
        <v>189</v>
      </c>
      <c r="I5" s="332" t="s">
        <v>198</v>
      </c>
      <c r="J5" s="324">
        <f>'Datos sobre SSPi'!F219</f>
        <v>10</v>
      </c>
      <c r="K5" s="332" t="s">
        <v>369</v>
      </c>
      <c r="L5" s="333">
        <v>0.47669696671761402</v>
      </c>
      <c r="M5" s="332" t="s">
        <v>368</v>
      </c>
      <c r="P5" s="278"/>
    </row>
    <row r="6" spans="3:17">
      <c r="C6" s="3" t="s">
        <v>367</v>
      </c>
      <c r="D6" s="3" t="s">
        <v>366</v>
      </c>
      <c r="E6" s="305">
        <f>E10/E5</f>
        <v>74046.5</v>
      </c>
      <c r="F6" s="305">
        <f>F10/F5</f>
        <v>36531</v>
      </c>
      <c r="H6" s="332" t="s">
        <v>367</v>
      </c>
      <c r="I6" s="332" t="s">
        <v>366</v>
      </c>
      <c r="J6" s="334">
        <v>100.7</v>
      </c>
      <c r="K6" s="332" t="s">
        <v>381</v>
      </c>
      <c r="L6" s="314">
        <f>L10/L5</f>
        <v>100.69289999999992</v>
      </c>
      <c r="M6" s="332" t="s">
        <v>365</v>
      </c>
      <c r="N6" s="323" t="s">
        <v>319</v>
      </c>
      <c r="O6" s="319"/>
      <c r="P6" s="319"/>
      <c r="Q6" s="319"/>
    </row>
    <row r="7" spans="3:17">
      <c r="C7" s="3" t="s">
        <v>332</v>
      </c>
      <c r="D7" s="3" t="s">
        <v>364</v>
      </c>
      <c r="E7" s="308">
        <v>67.52513623196235</v>
      </c>
      <c r="F7" s="308">
        <v>821.25</v>
      </c>
      <c r="G7" s="322"/>
      <c r="H7" s="332" t="s">
        <v>332</v>
      </c>
      <c r="I7" s="332" t="s">
        <v>364</v>
      </c>
      <c r="J7" s="307">
        <f>J9/J5</f>
        <v>9.7471598808341593</v>
      </c>
      <c r="K7" s="332" t="s">
        <v>363</v>
      </c>
      <c r="L7" s="307">
        <f>L9/L5</f>
        <v>408.97458333333333</v>
      </c>
      <c r="M7" s="332" t="s">
        <v>352</v>
      </c>
      <c r="O7" s="319"/>
      <c r="P7" s="319"/>
      <c r="Q7" s="319"/>
    </row>
    <row r="8" spans="3:17">
      <c r="C8" s="3" t="s">
        <v>362</v>
      </c>
      <c r="D8" s="3" t="s">
        <v>361</v>
      </c>
      <c r="E8" s="305">
        <v>10000000</v>
      </c>
      <c r="F8" s="305">
        <v>10000000</v>
      </c>
      <c r="H8" s="332" t="s">
        <v>362</v>
      </c>
      <c r="I8" s="332" t="s">
        <v>361</v>
      </c>
      <c r="J8" s="304">
        <f>J9*J6</f>
        <v>9815.39</v>
      </c>
      <c r="K8" s="332" t="s">
        <v>360</v>
      </c>
      <c r="L8" s="335">
        <v>19630.78</v>
      </c>
      <c r="M8" s="332" t="s">
        <v>359</v>
      </c>
      <c r="O8" s="321"/>
      <c r="P8" s="319"/>
      <c r="Q8" s="319"/>
    </row>
    <row r="9" spans="3:17">
      <c r="C9" s="3" t="s">
        <v>168</v>
      </c>
      <c r="D9" s="3" t="s">
        <v>358</v>
      </c>
      <c r="E9" s="305">
        <f>E8/E6</f>
        <v>135.0502724639247</v>
      </c>
      <c r="F9" s="305">
        <f>F8/F6</f>
        <v>273.74011113848513</v>
      </c>
      <c r="H9" s="332" t="s">
        <v>168</v>
      </c>
      <c r="I9" s="332" t="s">
        <v>358</v>
      </c>
      <c r="J9" s="324">
        <f>'Datos sobre SSPi'!F134/'CIPAV Areas y Emisiones'!J6</f>
        <v>97.471598808341597</v>
      </c>
      <c r="K9" s="332" t="s">
        <v>357</v>
      </c>
      <c r="L9" s="314">
        <f>L8/L6</f>
        <v>194.95694333960006</v>
      </c>
      <c r="M9" s="332" t="s">
        <v>352</v>
      </c>
      <c r="O9" s="320"/>
      <c r="P9" s="319"/>
      <c r="Q9" s="319"/>
    </row>
    <row r="10" spans="3:17">
      <c r="C10" s="3" t="s">
        <v>334</v>
      </c>
      <c r="D10" s="3" t="s">
        <v>49</v>
      </c>
      <c r="E10" s="305">
        <v>148093</v>
      </c>
      <c r="F10" s="305">
        <v>12177</v>
      </c>
      <c r="H10" s="332" t="s">
        <v>334</v>
      </c>
      <c r="I10" s="332" t="s">
        <v>49</v>
      </c>
      <c r="J10" s="304">
        <f>J5*J6</f>
        <v>1007</v>
      </c>
      <c r="K10" s="332" t="s">
        <v>352</v>
      </c>
      <c r="L10" s="336">
        <v>48</v>
      </c>
      <c r="M10" s="332" t="s">
        <v>356</v>
      </c>
      <c r="O10" s="319"/>
      <c r="P10" s="319"/>
      <c r="Q10" s="319"/>
    </row>
    <row r="11" spans="3:17" ht="18">
      <c r="C11" s="3" t="s">
        <v>355</v>
      </c>
      <c r="D11" s="3" t="s">
        <v>337</v>
      </c>
      <c r="E11" s="305">
        <v>48204000</v>
      </c>
      <c r="F11" s="305">
        <v>26849000</v>
      </c>
      <c r="H11" s="332" t="s">
        <v>355</v>
      </c>
      <c r="I11" s="332" t="s">
        <v>374</v>
      </c>
      <c r="J11" s="304">
        <f>J22*J23*J10</f>
        <v>65555.330771879831</v>
      </c>
      <c r="K11" s="332" t="s">
        <v>352</v>
      </c>
      <c r="L11" s="304">
        <f>L22*L23*L10</f>
        <v>74005.739566395612</v>
      </c>
      <c r="M11" s="332" t="s">
        <v>352</v>
      </c>
    </row>
    <row r="12" spans="3:17" ht="18">
      <c r="C12" s="3" t="s">
        <v>354</v>
      </c>
      <c r="D12" s="3" t="s">
        <v>337</v>
      </c>
      <c r="E12" s="305">
        <v>0</v>
      </c>
      <c r="F12" s="305">
        <f>-11896000-18265000</f>
        <v>-30161000</v>
      </c>
      <c r="H12" s="332" t="s">
        <v>354</v>
      </c>
      <c r="I12" s="332" t="s">
        <v>374</v>
      </c>
      <c r="J12" s="304">
        <f>J24*J9</f>
        <v>0</v>
      </c>
      <c r="K12" s="332" t="s">
        <v>352</v>
      </c>
      <c r="L12" s="304">
        <f>L24*L10</f>
        <v>-118890.36708548904</v>
      </c>
      <c r="M12" s="332" t="s">
        <v>352</v>
      </c>
    </row>
    <row r="13" spans="3:17" ht="18">
      <c r="C13" s="3" t="s">
        <v>353</v>
      </c>
      <c r="D13" s="3" t="s">
        <v>337</v>
      </c>
      <c r="E13" s="305">
        <f>E11+E12</f>
        <v>48204000</v>
      </c>
      <c r="F13" s="305">
        <f>F11+F12</f>
        <v>-3312000</v>
      </c>
      <c r="G13" s="107"/>
      <c r="H13" s="332" t="s">
        <v>353</v>
      </c>
      <c r="I13" s="332" t="s">
        <v>374</v>
      </c>
      <c r="J13" s="304">
        <f>(J23/J5+J24)*J10</f>
        <v>65555.330771879831</v>
      </c>
      <c r="K13" s="332" t="s">
        <v>352</v>
      </c>
      <c r="L13" s="304">
        <f>(L23/L5+L24)*L10</f>
        <v>-44884.627519093439</v>
      </c>
      <c r="M13" s="332" t="s">
        <v>352</v>
      </c>
    </row>
    <row r="14" spans="3:17">
      <c r="C14" s="318" t="s">
        <v>351</v>
      </c>
      <c r="D14" s="318"/>
      <c r="E14" s="318"/>
      <c r="F14" s="318"/>
      <c r="H14" s="337" t="s">
        <v>375</v>
      </c>
      <c r="I14" s="306"/>
      <c r="J14" s="306"/>
      <c r="K14" s="306"/>
      <c r="L14" s="306"/>
      <c r="M14" s="306"/>
    </row>
    <row r="15" spans="3:17">
      <c r="C15" s="318" t="s">
        <v>350</v>
      </c>
      <c r="D15" s="318"/>
      <c r="E15" s="318"/>
      <c r="F15" s="318"/>
      <c r="H15" s="337" t="s">
        <v>349</v>
      </c>
      <c r="I15" s="306"/>
      <c r="J15" s="306"/>
      <c r="K15" s="306"/>
      <c r="L15" s="306"/>
      <c r="M15" s="306"/>
    </row>
    <row r="16" spans="3:17">
      <c r="H16" s="306"/>
      <c r="I16" s="306"/>
      <c r="J16" s="317"/>
      <c r="K16" s="317"/>
      <c r="L16" s="317"/>
      <c r="M16" s="306"/>
    </row>
    <row r="17" spans="3:13">
      <c r="C17" s="245" t="s">
        <v>156</v>
      </c>
      <c r="D17" s="245" t="s">
        <v>155</v>
      </c>
      <c r="E17" s="271" t="s">
        <v>335</v>
      </c>
      <c r="F17" s="271" t="s">
        <v>163</v>
      </c>
      <c r="H17" s="330" t="s">
        <v>156</v>
      </c>
      <c r="I17" s="330" t="s">
        <v>155</v>
      </c>
      <c r="J17" s="331" t="s">
        <v>370</v>
      </c>
      <c r="K17" s="332"/>
      <c r="L17" s="331" t="s">
        <v>380</v>
      </c>
      <c r="M17" s="332"/>
    </row>
    <row r="18" spans="3:13" ht="18">
      <c r="C18" s="3" t="s">
        <v>348</v>
      </c>
      <c r="D18" s="3" t="s">
        <v>346</v>
      </c>
      <c r="E18" s="315">
        <f>E13/E10</f>
        <v>325.49816669255131</v>
      </c>
      <c r="F18" s="315">
        <f>F13/F10</f>
        <v>-271.98817442719883</v>
      </c>
      <c r="G18" s="316"/>
      <c r="H18" s="332" t="s">
        <v>348</v>
      </c>
      <c r="I18" s="332" t="s">
        <v>376</v>
      </c>
      <c r="J18" s="314">
        <f>J13/J10</f>
        <v>65.099633338510259</v>
      </c>
      <c r="K18" s="314"/>
      <c r="L18" s="314">
        <f>L13/L10</f>
        <v>-935.09640664777999</v>
      </c>
      <c r="M18" s="332"/>
    </row>
    <row r="19" spans="3:13" ht="18">
      <c r="C19" s="3" t="s">
        <v>347</v>
      </c>
      <c r="D19" s="3" t="s">
        <v>344</v>
      </c>
      <c r="E19" s="315">
        <f>E13/E8</f>
        <v>4.8204000000000002</v>
      </c>
      <c r="F19" s="315">
        <f>F13/F8</f>
        <v>-0.33119999999999999</v>
      </c>
      <c r="H19" s="332" t="s">
        <v>347</v>
      </c>
      <c r="I19" s="332" t="s">
        <v>377</v>
      </c>
      <c r="J19" s="314">
        <f>J13/J8</f>
        <v>6.6788309758328337</v>
      </c>
      <c r="K19" s="314"/>
      <c r="L19" s="314">
        <f>L13/L8</f>
        <v>-2.2864413700878643</v>
      </c>
      <c r="M19" s="332"/>
    </row>
    <row r="20" spans="3:13" ht="18">
      <c r="C20" s="3" t="s">
        <v>145</v>
      </c>
      <c r="D20" s="3" t="s">
        <v>346</v>
      </c>
      <c r="E20" s="313">
        <f>(F13-E13)/F10</f>
        <v>-4230.5986696230602</v>
      </c>
      <c r="F20" s="312"/>
      <c r="H20" s="332" t="s">
        <v>145</v>
      </c>
      <c r="I20" s="332" t="s">
        <v>376</v>
      </c>
      <c r="J20" s="311">
        <f>(L13-J13)/L10</f>
        <v>-2300.8324643952765</v>
      </c>
      <c r="K20" s="310"/>
      <c r="L20" s="309"/>
      <c r="M20" s="332"/>
    </row>
    <row r="21" spans="3:13" ht="18">
      <c r="C21" s="3" t="s">
        <v>345</v>
      </c>
      <c r="D21" s="3" t="s">
        <v>344</v>
      </c>
      <c r="E21" s="313">
        <f>(F13-E13)/F8</f>
        <v>-5.1516000000000002</v>
      </c>
      <c r="F21" s="312"/>
      <c r="H21" s="332" t="s">
        <v>345</v>
      </c>
      <c r="I21" s="332" t="s">
        <v>377</v>
      </c>
      <c r="J21" s="311">
        <f>(L13-J13)/L8</f>
        <v>-5.6258568580042807</v>
      </c>
      <c r="K21" s="310"/>
      <c r="L21" s="309"/>
      <c r="M21" s="332"/>
    </row>
    <row r="22" spans="3:13">
      <c r="C22" s="3" t="s">
        <v>343</v>
      </c>
      <c r="D22" s="3" t="s">
        <v>113</v>
      </c>
      <c r="E22" s="3">
        <f>1/E5</f>
        <v>0.5</v>
      </c>
      <c r="F22" s="308">
        <f>1/F5</f>
        <v>3</v>
      </c>
      <c r="H22" s="332" t="s">
        <v>343</v>
      </c>
      <c r="I22" s="332" t="s">
        <v>113</v>
      </c>
      <c r="J22" s="338">
        <f>1/J5</f>
        <v>0.1</v>
      </c>
      <c r="K22" s="332"/>
      <c r="L22" s="307">
        <f>1/L5</f>
        <v>2.0977687499999984</v>
      </c>
      <c r="M22" s="332"/>
    </row>
    <row r="23" spans="3:13" ht="18">
      <c r="C23" s="3" t="s">
        <v>342</v>
      </c>
      <c r="D23" s="3" t="s">
        <v>341</v>
      </c>
      <c r="E23" s="305">
        <f>E11/E22/E10</f>
        <v>650.99633338510262</v>
      </c>
      <c r="F23" s="305">
        <f>F11/F22/F10</f>
        <v>734.96482439571867</v>
      </c>
      <c r="H23" s="332" t="s">
        <v>342</v>
      </c>
      <c r="I23" s="332" t="s">
        <v>378</v>
      </c>
      <c r="J23" s="304">
        <f>E23</f>
        <v>650.99633338510262</v>
      </c>
      <c r="K23" s="332"/>
      <c r="L23" s="304">
        <f>F23</f>
        <v>734.96482439571867</v>
      </c>
      <c r="M23" s="332"/>
    </row>
    <row r="24" spans="3:13" ht="18">
      <c r="C24" s="3" t="s">
        <v>340</v>
      </c>
      <c r="D24" s="3" t="s">
        <v>339</v>
      </c>
      <c r="E24" s="305">
        <f>E12/E10</f>
        <v>0</v>
      </c>
      <c r="F24" s="305">
        <f>F12/F10</f>
        <v>-2476.8826476143549</v>
      </c>
      <c r="H24" s="332" t="s">
        <v>340</v>
      </c>
      <c r="I24" s="332" t="s">
        <v>379</v>
      </c>
      <c r="J24" s="332">
        <f>E24</f>
        <v>0</v>
      </c>
      <c r="K24" s="332"/>
      <c r="L24" s="304">
        <f>F24</f>
        <v>-2476.8826476143549</v>
      </c>
      <c r="M24" s="332"/>
    </row>
    <row r="25" spans="3:13">
      <c r="C25" s="318" t="s">
        <v>351</v>
      </c>
      <c r="D25" s="318"/>
      <c r="E25" s="318"/>
      <c r="F25" s="318"/>
      <c r="H25" s="306" t="s">
        <v>373</v>
      </c>
      <c r="I25" s="306"/>
      <c r="J25" s="306"/>
      <c r="K25" s="306"/>
      <c r="L25" s="306"/>
      <c r="M25" s="306"/>
    </row>
    <row r="26" spans="3:13">
      <c r="C26" s="318" t="s">
        <v>350</v>
      </c>
      <c r="D26" s="318"/>
      <c r="E26" s="318"/>
      <c r="F26" s="318"/>
      <c r="H26" s="306" t="s">
        <v>349</v>
      </c>
      <c r="I26" s="306"/>
      <c r="J26" s="306"/>
      <c r="K26" s="306"/>
      <c r="L26" s="306"/>
      <c r="M26" s="306"/>
    </row>
    <row r="27" spans="3:13">
      <c r="H27" s="306"/>
      <c r="I27" s="306"/>
      <c r="J27" s="306"/>
      <c r="K27" s="306"/>
      <c r="L27" s="306"/>
      <c r="M27" s="306"/>
    </row>
    <row r="28" spans="3:13">
      <c r="H28" s="306"/>
      <c r="I28" s="306"/>
      <c r="J28" s="306"/>
      <c r="K28" s="306"/>
      <c r="L28" s="306"/>
      <c r="M28" s="306"/>
    </row>
    <row r="29" spans="3:13" ht="18">
      <c r="C29" s="3" t="s">
        <v>338</v>
      </c>
      <c r="D29" s="3" t="s">
        <v>337</v>
      </c>
      <c r="E29" s="305">
        <f>(E22*E23+E24)*E10</f>
        <v>48204000</v>
      </c>
      <c r="F29" s="305">
        <f>(F22*F23+F24)*F10</f>
        <v>-3312000</v>
      </c>
      <c r="H29" s="332" t="s">
        <v>338</v>
      </c>
      <c r="I29" s="332" t="s">
        <v>374</v>
      </c>
      <c r="J29" s="304">
        <f>(J22*J23+J24)*J10</f>
        <v>65555.330771879831</v>
      </c>
      <c r="K29" s="332"/>
      <c r="L29" s="304">
        <f>(L22*L23+L24)*L10</f>
        <v>-44884.627519093425</v>
      </c>
      <c r="M29" s="332"/>
    </row>
    <row r="32" spans="3:13">
      <c r="E32" s="107"/>
      <c r="F32" s="107"/>
      <c r="J32" s="107"/>
      <c r="L32" s="107"/>
    </row>
  </sheetData>
  <mergeCells count="8">
    <mergeCell ref="C25:F25"/>
    <mergeCell ref="C26:F26"/>
    <mergeCell ref="C14:F14"/>
    <mergeCell ref="C15:F15"/>
    <mergeCell ref="E20:F20"/>
    <mergeCell ref="E21:F21"/>
    <mergeCell ref="J20:L20"/>
    <mergeCell ref="J21:L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128B8-13E4-417B-BAB5-F6D78D4225E0}">
  <dimension ref="B1:M29"/>
  <sheetViews>
    <sheetView workbookViewId="0">
      <selection activeCell="E6" sqref="E6"/>
    </sheetView>
  </sheetViews>
  <sheetFormatPr baseColWidth="10" defaultRowHeight="15"/>
  <cols>
    <col min="5" max="8" width="14" style="1" customWidth="1"/>
    <col min="9" max="11" width="14" customWidth="1"/>
    <col min="12" max="13" width="14.140625" customWidth="1"/>
  </cols>
  <sheetData>
    <row r="1" spans="2:13" ht="21">
      <c r="B1" s="261" t="s">
        <v>303</v>
      </c>
    </row>
    <row r="3" spans="2:13">
      <c r="D3" s="235" t="s">
        <v>229</v>
      </c>
      <c r="E3" s="282">
        <v>0.12</v>
      </c>
    </row>
    <row r="4" spans="2:13">
      <c r="D4" s="235" t="s">
        <v>271</v>
      </c>
      <c r="E4" s="231">
        <f>'Datos sobre SSPi'!D207</f>
        <v>0</v>
      </c>
    </row>
    <row r="5" spans="2:13">
      <c r="D5" s="235" t="s">
        <v>385</v>
      </c>
      <c r="E5" s="339">
        <v>0</v>
      </c>
    </row>
    <row r="6" spans="2:13">
      <c r="D6" s="235" t="s">
        <v>327</v>
      </c>
      <c r="E6" s="231">
        <v>0</v>
      </c>
      <c r="F6" s="231" t="s">
        <v>328</v>
      </c>
      <c r="G6" s="231"/>
      <c r="H6" s="231"/>
      <c r="I6" s="231"/>
      <c r="J6" s="123"/>
      <c r="K6" s="123"/>
    </row>
    <row r="7" spans="2:13" ht="25.5">
      <c r="D7" s="230" t="s">
        <v>274</v>
      </c>
      <c r="E7" s="230" t="s">
        <v>265</v>
      </c>
      <c r="F7" s="230" t="s">
        <v>51</v>
      </c>
      <c r="G7" s="230" t="s">
        <v>8</v>
      </c>
      <c r="H7" s="230" t="s">
        <v>54</v>
      </c>
      <c r="I7" s="233" t="s">
        <v>273</v>
      </c>
      <c r="J7" s="230" t="s">
        <v>80</v>
      </c>
      <c r="K7" s="230" t="s">
        <v>278</v>
      </c>
      <c r="L7" s="230" t="s">
        <v>277</v>
      </c>
      <c r="M7" s="230" t="s">
        <v>276</v>
      </c>
    </row>
    <row r="8" spans="2:13">
      <c r="D8" s="237">
        <v>0</v>
      </c>
      <c r="E8" s="238">
        <f>'Datos sobre SSPi'!D120*E4</f>
        <v>0</v>
      </c>
      <c r="F8" s="238">
        <f>'Datos sobre SSPi'!D121</f>
        <v>2460000</v>
      </c>
      <c r="G8" s="238">
        <f>'Datos sobre SSPi'!D122</f>
        <v>500000</v>
      </c>
      <c r="H8" s="238">
        <f>'Datos sobre SSPi'!D123</f>
        <v>946000</v>
      </c>
      <c r="I8" s="239">
        <f>'Datos sobre SSPi'!D205</f>
        <v>765544</v>
      </c>
      <c r="J8" s="239">
        <f>'Datos sobre SSPi'!D192</f>
        <v>1495221.6</v>
      </c>
      <c r="K8" s="239">
        <f>-SUM(E8:H8)</f>
        <v>-3906000</v>
      </c>
      <c r="L8" s="237">
        <v>1</v>
      </c>
      <c r="M8" s="239">
        <f>K8/L8</f>
        <v>-3906000</v>
      </c>
    </row>
    <row r="9" spans="2:13">
      <c r="D9" s="237">
        <v>1</v>
      </c>
      <c r="E9" s="238"/>
      <c r="F9" s="238"/>
      <c r="G9" s="238"/>
      <c r="H9" s="238"/>
      <c r="I9" s="239">
        <f>I8</f>
        <v>765544</v>
      </c>
      <c r="J9" s="239">
        <f>J8*(1+$E$5)</f>
        <v>1495221.6</v>
      </c>
      <c r="K9" s="239">
        <f>J9-SUM(E9:I9)</f>
        <v>729677.60000000009</v>
      </c>
      <c r="L9" s="267">
        <f>L8*(1+$E$3)</f>
        <v>1.1200000000000001</v>
      </c>
      <c r="M9" s="239">
        <f>K9/L9</f>
        <v>651497.85714285716</v>
      </c>
    </row>
    <row r="10" spans="2:13">
      <c r="D10" s="237">
        <v>2</v>
      </c>
      <c r="E10" s="238"/>
      <c r="F10" s="238"/>
      <c r="G10" s="238"/>
      <c r="H10" s="238"/>
      <c r="I10" s="239">
        <f t="shared" ref="I10:I28" si="0">I9</f>
        <v>765544</v>
      </c>
      <c r="J10" s="239">
        <f t="shared" ref="J10:J28" si="1">J9*(1+$E$5)</f>
        <v>1495221.6</v>
      </c>
      <c r="K10" s="239">
        <f t="shared" ref="K10:K28" si="2">J10-SUM(E10:I10)</f>
        <v>729677.60000000009</v>
      </c>
      <c r="L10" s="267">
        <f t="shared" ref="L10:L28" si="3">L9*(1+$E$3)</f>
        <v>1.2544000000000002</v>
      </c>
      <c r="M10" s="239">
        <f t="shared" ref="M10:M28" si="4">K10/L10</f>
        <v>581694.51530612248</v>
      </c>
    </row>
    <row r="11" spans="2:13">
      <c r="D11" s="237">
        <v>3</v>
      </c>
      <c r="E11" s="238"/>
      <c r="F11" s="238"/>
      <c r="G11" s="238"/>
      <c r="H11" s="238"/>
      <c r="I11" s="239">
        <f t="shared" si="0"/>
        <v>765544</v>
      </c>
      <c r="J11" s="239">
        <f t="shared" si="1"/>
        <v>1495221.6</v>
      </c>
      <c r="K11" s="239">
        <f t="shared" si="2"/>
        <v>729677.60000000009</v>
      </c>
      <c r="L11" s="267">
        <f t="shared" si="3"/>
        <v>1.4049280000000004</v>
      </c>
      <c r="M11" s="239">
        <f t="shared" si="4"/>
        <v>519370.10295189498</v>
      </c>
    </row>
    <row r="12" spans="2:13">
      <c r="D12" s="237">
        <v>4</v>
      </c>
      <c r="E12" s="238"/>
      <c r="F12" s="238"/>
      <c r="G12" s="238"/>
      <c r="H12" s="238"/>
      <c r="I12" s="239">
        <f t="shared" si="0"/>
        <v>765544</v>
      </c>
      <c r="J12" s="239">
        <f t="shared" si="1"/>
        <v>1495221.6</v>
      </c>
      <c r="K12" s="239">
        <f t="shared" si="2"/>
        <v>729677.60000000009</v>
      </c>
      <c r="L12" s="267">
        <f t="shared" si="3"/>
        <v>1.5735193600000006</v>
      </c>
      <c r="M12" s="239">
        <f t="shared" si="4"/>
        <v>463723.30620704906</v>
      </c>
    </row>
    <row r="13" spans="2:13">
      <c r="D13" s="237">
        <v>5</v>
      </c>
      <c r="E13" s="238"/>
      <c r="F13" s="238"/>
      <c r="G13" s="238"/>
      <c r="H13" s="238"/>
      <c r="I13" s="239">
        <f t="shared" si="0"/>
        <v>765544</v>
      </c>
      <c r="J13" s="239">
        <f t="shared" si="1"/>
        <v>1495221.6</v>
      </c>
      <c r="K13" s="239">
        <f t="shared" si="2"/>
        <v>729677.60000000009</v>
      </c>
      <c r="L13" s="267">
        <f t="shared" si="3"/>
        <v>1.7623416832000007</v>
      </c>
      <c r="M13" s="239">
        <f t="shared" si="4"/>
        <v>414038.66625629377</v>
      </c>
    </row>
    <row r="14" spans="2:13">
      <c r="D14" s="237">
        <v>6</v>
      </c>
      <c r="E14" s="238"/>
      <c r="F14" s="238"/>
      <c r="G14" s="238"/>
      <c r="H14" s="238"/>
      <c r="I14" s="239">
        <f t="shared" si="0"/>
        <v>765544</v>
      </c>
      <c r="J14" s="239">
        <f t="shared" si="1"/>
        <v>1495221.6</v>
      </c>
      <c r="K14" s="239">
        <f t="shared" si="2"/>
        <v>729677.60000000009</v>
      </c>
      <c r="L14" s="267">
        <f t="shared" si="3"/>
        <v>1.9738226851840011</v>
      </c>
      <c r="M14" s="239">
        <f t="shared" si="4"/>
        <v>369677.38058597653</v>
      </c>
    </row>
    <row r="15" spans="2:13">
      <c r="D15" s="237">
        <v>7</v>
      </c>
      <c r="E15" s="238"/>
      <c r="F15" s="238"/>
      <c r="G15" s="238"/>
      <c r="H15" s="238"/>
      <c r="I15" s="239">
        <f t="shared" si="0"/>
        <v>765544</v>
      </c>
      <c r="J15" s="239">
        <f t="shared" si="1"/>
        <v>1495221.6</v>
      </c>
      <c r="K15" s="239">
        <f t="shared" si="2"/>
        <v>729677.60000000009</v>
      </c>
      <c r="L15" s="267">
        <f t="shared" si="3"/>
        <v>2.2106814074060814</v>
      </c>
      <c r="M15" s="239">
        <f t="shared" si="4"/>
        <v>330069.08980890759</v>
      </c>
    </row>
    <row r="16" spans="2:13">
      <c r="D16" s="237">
        <v>8</v>
      </c>
      <c r="E16" s="238"/>
      <c r="F16" s="238"/>
      <c r="G16" s="238"/>
      <c r="H16" s="238"/>
      <c r="I16" s="239">
        <f t="shared" si="0"/>
        <v>765544</v>
      </c>
      <c r="J16" s="239">
        <f t="shared" si="1"/>
        <v>1495221.6</v>
      </c>
      <c r="K16" s="239">
        <f t="shared" si="2"/>
        <v>729677.60000000009</v>
      </c>
      <c r="L16" s="267">
        <f t="shared" si="3"/>
        <v>2.4759631762948113</v>
      </c>
      <c r="M16" s="239">
        <f t="shared" si="4"/>
        <v>294704.54447223892</v>
      </c>
    </row>
    <row r="17" spans="4:13">
      <c r="D17" s="237">
        <v>9</v>
      </c>
      <c r="E17" s="238"/>
      <c r="F17" s="238"/>
      <c r="G17" s="238"/>
      <c r="H17" s="238"/>
      <c r="I17" s="239">
        <f t="shared" si="0"/>
        <v>765544</v>
      </c>
      <c r="J17" s="239">
        <f t="shared" si="1"/>
        <v>1495221.6</v>
      </c>
      <c r="K17" s="239">
        <f t="shared" si="2"/>
        <v>729677.60000000009</v>
      </c>
      <c r="L17" s="267">
        <f t="shared" si="3"/>
        <v>2.7730787574501892</v>
      </c>
      <c r="M17" s="239">
        <f t="shared" si="4"/>
        <v>263129.05756449897</v>
      </c>
    </row>
    <row r="18" spans="4:13">
      <c r="D18" s="237">
        <v>10</v>
      </c>
      <c r="E18" s="238"/>
      <c r="F18" s="238"/>
      <c r="G18" s="238"/>
      <c r="H18" s="238"/>
      <c r="I18" s="239">
        <f t="shared" si="0"/>
        <v>765544</v>
      </c>
      <c r="J18" s="239">
        <f t="shared" si="1"/>
        <v>1495221.6</v>
      </c>
      <c r="K18" s="239">
        <f t="shared" si="2"/>
        <v>729677.60000000009</v>
      </c>
      <c r="L18" s="267">
        <f t="shared" si="3"/>
        <v>3.105848208344212</v>
      </c>
      <c r="M18" s="239">
        <f t="shared" si="4"/>
        <v>234936.6585397312</v>
      </c>
    </row>
    <row r="19" spans="4:13">
      <c r="D19" s="237">
        <v>11</v>
      </c>
      <c r="E19" s="238"/>
      <c r="F19" s="238"/>
      <c r="G19" s="238"/>
      <c r="H19" s="238"/>
      <c r="I19" s="239">
        <f t="shared" si="0"/>
        <v>765544</v>
      </c>
      <c r="J19" s="239">
        <f t="shared" si="1"/>
        <v>1495221.6</v>
      </c>
      <c r="K19" s="239">
        <f t="shared" si="2"/>
        <v>729677.60000000009</v>
      </c>
      <c r="L19" s="267">
        <f t="shared" si="3"/>
        <v>3.478549993345518</v>
      </c>
      <c r="M19" s="239">
        <f t="shared" si="4"/>
        <v>209764.87369618856</v>
      </c>
    </row>
    <row r="20" spans="4:13">
      <c r="D20" s="237">
        <v>12</v>
      </c>
      <c r="E20" s="238"/>
      <c r="F20" s="238"/>
      <c r="G20" s="238"/>
      <c r="H20" s="238"/>
      <c r="I20" s="239">
        <f t="shared" si="0"/>
        <v>765544</v>
      </c>
      <c r="J20" s="239">
        <f t="shared" si="1"/>
        <v>1495221.6</v>
      </c>
      <c r="K20" s="239">
        <f t="shared" si="2"/>
        <v>729677.60000000009</v>
      </c>
      <c r="L20" s="267">
        <f t="shared" si="3"/>
        <v>3.8959759925469806</v>
      </c>
      <c r="M20" s="239">
        <f t="shared" si="4"/>
        <v>187290.06580016832</v>
      </c>
    </row>
    <row r="21" spans="4:13">
      <c r="D21" s="237">
        <v>13</v>
      </c>
      <c r="E21" s="238"/>
      <c r="F21" s="238"/>
      <c r="G21" s="238"/>
      <c r="H21" s="238"/>
      <c r="I21" s="239">
        <f t="shared" si="0"/>
        <v>765544</v>
      </c>
      <c r="J21" s="239">
        <f t="shared" si="1"/>
        <v>1495221.6</v>
      </c>
      <c r="K21" s="239">
        <f t="shared" si="2"/>
        <v>729677.60000000009</v>
      </c>
      <c r="L21" s="267">
        <f t="shared" si="3"/>
        <v>4.3634931116526188</v>
      </c>
      <c r="M21" s="239">
        <f>K21/L21</f>
        <v>167223.27303586455</v>
      </c>
    </row>
    <row r="22" spans="4:13">
      <c r="D22" s="237">
        <v>14</v>
      </c>
      <c r="E22" s="238"/>
      <c r="F22" s="238"/>
      <c r="G22" s="238"/>
      <c r="H22" s="238"/>
      <c r="I22" s="239">
        <f t="shared" si="0"/>
        <v>765544</v>
      </c>
      <c r="J22" s="239">
        <f t="shared" si="1"/>
        <v>1495221.6</v>
      </c>
      <c r="K22" s="239">
        <f t="shared" si="2"/>
        <v>729677.60000000009</v>
      </c>
      <c r="L22" s="267">
        <f t="shared" si="3"/>
        <v>4.8871122850509332</v>
      </c>
      <c r="M22" s="239">
        <f t="shared" si="4"/>
        <v>149306.49378202192</v>
      </c>
    </row>
    <row r="23" spans="4:13">
      <c r="D23" s="237">
        <v>15</v>
      </c>
      <c r="E23" s="238"/>
      <c r="F23" s="238"/>
      <c r="G23" s="238"/>
      <c r="H23" s="238"/>
      <c r="I23" s="239">
        <f t="shared" si="0"/>
        <v>765544</v>
      </c>
      <c r="J23" s="239">
        <f t="shared" si="1"/>
        <v>1495221.6</v>
      </c>
      <c r="K23" s="239">
        <f t="shared" si="2"/>
        <v>729677.60000000009</v>
      </c>
      <c r="L23" s="267">
        <f t="shared" si="3"/>
        <v>5.4735657592570455</v>
      </c>
      <c r="M23" s="239">
        <f t="shared" si="4"/>
        <v>133309.36944823386</v>
      </c>
    </row>
    <row r="24" spans="4:13">
      <c r="D24" s="237">
        <v>16</v>
      </c>
      <c r="E24" s="238"/>
      <c r="F24" s="238"/>
      <c r="G24" s="238"/>
      <c r="H24" s="238"/>
      <c r="I24" s="239">
        <f t="shared" si="0"/>
        <v>765544</v>
      </c>
      <c r="J24" s="239">
        <f t="shared" si="1"/>
        <v>1495221.6</v>
      </c>
      <c r="K24" s="239">
        <f t="shared" si="2"/>
        <v>729677.60000000009</v>
      </c>
      <c r="L24" s="267">
        <f t="shared" si="3"/>
        <v>6.1303936503678917</v>
      </c>
      <c r="M24" s="239">
        <f t="shared" si="4"/>
        <v>119026.22272163734</v>
      </c>
    </row>
    <row r="25" spans="4:13">
      <c r="D25" s="237">
        <v>17</v>
      </c>
      <c r="E25" s="238"/>
      <c r="F25" s="238"/>
      <c r="G25" s="238"/>
      <c r="H25" s="238"/>
      <c r="I25" s="239">
        <f t="shared" si="0"/>
        <v>765544</v>
      </c>
      <c r="J25" s="239">
        <f t="shared" si="1"/>
        <v>1495221.6</v>
      </c>
      <c r="K25" s="239">
        <f t="shared" si="2"/>
        <v>729677.60000000009</v>
      </c>
      <c r="L25" s="267">
        <f t="shared" si="3"/>
        <v>6.866040888412039</v>
      </c>
      <c r="M25" s="239">
        <f t="shared" si="4"/>
        <v>106273.41314431906</v>
      </c>
    </row>
    <row r="26" spans="4:13">
      <c r="D26" s="237">
        <v>18</v>
      </c>
      <c r="E26" s="238"/>
      <c r="F26" s="238"/>
      <c r="G26" s="238"/>
      <c r="H26" s="238"/>
      <c r="I26" s="239">
        <f t="shared" si="0"/>
        <v>765544</v>
      </c>
      <c r="J26" s="239">
        <f t="shared" si="1"/>
        <v>1495221.6</v>
      </c>
      <c r="K26" s="239">
        <f t="shared" si="2"/>
        <v>729677.60000000009</v>
      </c>
      <c r="L26" s="267">
        <f t="shared" si="3"/>
        <v>7.6899657950214841</v>
      </c>
      <c r="M26" s="239">
        <f t="shared" si="4"/>
        <v>94886.976021713446</v>
      </c>
    </row>
    <row r="27" spans="4:13">
      <c r="D27" s="237">
        <v>19</v>
      </c>
      <c r="E27" s="238"/>
      <c r="F27" s="238"/>
      <c r="G27" s="238"/>
      <c r="H27" s="238"/>
      <c r="I27" s="239">
        <f t="shared" si="0"/>
        <v>765544</v>
      </c>
      <c r="J27" s="239">
        <f t="shared" si="1"/>
        <v>1495221.6</v>
      </c>
      <c r="K27" s="239">
        <f t="shared" si="2"/>
        <v>729677.60000000009</v>
      </c>
      <c r="L27" s="267">
        <f t="shared" si="3"/>
        <v>8.6127616904240636</v>
      </c>
      <c r="M27" s="239">
        <f t="shared" si="4"/>
        <v>84720.514305101271</v>
      </c>
    </row>
    <row r="28" spans="4:13">
      <c r="D28" s="237">
        <v>20</v>
      </c>
      <c r="E28" s="238"/>
      <c r="F28" s="238"/>
      <c r="G28" s="238"/>
      <c r="H28" s="238"/>
      <c r="I28" s="239">
        <f t="shared" si="0"/>
        <v>765544</v>
      </c>
      <c r="J28" s="239">
        <f t="shared" si="1"/>
        <v>1495221.6</v>
      </c>
      <c r="K28" s="239">
        <f t="shared" si="2"/>
        <v>729677.60000000009</v>
      </c>
      <c r="L28" s="267">
        <f t="shared" si="3"/>
        <v>9.6462930932749522</v>
      </c>
      <c r="M28" s="239">
        <f t="shared" si="4"/>
        <v>75643.316343840415</v>
      </c>
    </row>
    <row r="29" spans="4:13">
      <c r="L29" s="235" t="s">
        <v>279</v>
      </c>
      <c r="M29" s="236">
        <f>SUM(M8:M28)</f>
        <v>1544285.6971346594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94E3-9058-41A5-BEE1-11E7EA1C0973}">
  <dimension ref="B1:M29"/>
  <sheetViews>
    <sheetView workbookViewId="0">
      <selection activeCell="J9" sqref="J9"/>
    </sheetView>
  </sheetViews>
  <sheetFormatPr baseColWidth="10" defaultRowHeight="15"/>
  <cols>
    <col min="5" max="8" width="14" style="1" customWidth="1"/>
    <col min="9" max="11" width="14" customWidth="1"/>
    <col min="12" max="13" width="14.140625" customWidth="1"/>
  </cols>
  <sheetData>
    <row r="1" spans="2:13" ht="21">
      <c r="B1" s="261" t="s">
        <v>304</v>
      </c>
    </row>
    <row r="3" spans="2:13">
      <c r="D3" s="235" t="s">
        <v>229</v>
      </c>
      <c r="E3" s="234">
        <f>'Análisis a VPN SSPi sequía'!E3</f>
        <v>0.12</v>
      </c>
    </row>
    <row r="4" spans="2:13">
      <c r="D4" s="235" t="s">
        <v>271</v>
      </c>
      <c r="E4" s="231">
        <f>'Datos sobre SSPi'!E207</f>
        <v>0</v>
      </c>
    </row>
    <row r="5" spans="2:13">
      <c r="D5" s="235" t="s">
        <v>385</v>
      </c>
      <c r="E5" s="340">
        <f>'Análisis a VPN SSPi sequía'!E5</f>
        <v>0</v>
      </c>
    </row>
    <row r="6" spans="2:13">
      <c r="D6" s="235" t="s">
        <v>275</v>
      </c>
      <c r="E6" s="231">
        <v>0</v>
      </c>
      <c r="F6" s="231">
        <f>'Datos sobre SSPi'!E25</f>
        <v>20</v>
      </c>
      <c r="G6" s="231">
        <f>'Datos sobre SSPi'!E27</f>
        <v>10</v>
      </c>
      <c r="H6" s="231">
        <f>'Datos sobre SSPi'!E29</f>
        <v>5</v>
      </c>
      <c r="I6" s="231"/>
      <c r="J6" s="123"/>
      <c r="K6" s="123"/>
    </row>
    <row r="7" spans="2:13" ht="25.5">
      <c r="D7" s="230" t="s">
        <v>274</v>
      </c>
      <c r="E7" s="230" t="s">
        <v>265</v>
      </c>
      <c r="F7" s="230" t="s">
        <v>51</v>
      </c>
      <c r="G7" s="230" t="s">
        <v>8</v>
      </c>
      <c r="H7" s="230" t="s">
        <v>54</v>
      </c>
      <c r="I7" s="233" t="s">
        <v>273</v>
      </c>
      <c r="J7" s="230" t="s">
        <v>80</v>
      </c>
      <c r="K7" s="230" t="s">
        <v>278</v>
      </c>
      <c r="L7" s="230" t="s">
        <v>277</v>
      </c>
      <c r="M7" s="230" t="s">
        <v>276</v>
      </c>
    </row>
    <row r="8" spans="2:13">
      <c r="D8" s="237">
        <v>0</v>
      </c>
      <c r="E8" s="238">
        <f>'Datos sobre SSPi'!D120*E4</f>
        <v>0</v>
      </c>
      <c r="F8" s="238">
        <f>'Datos sobre SSPi'!E121</f>
        <v>2460000</v>
      </c>
      <c r="G8" s="238">
        <f>'Datos sobre SSPi'!E122</f>
        <v>500000</v>
      </c>
      <c r="H8" s="238">
        <f>'Datos sobre SSPi'!E123</f>
        <v>946000</v>
      </c>
      <c r="I8" s="239">
        <f>'Datos sobre SSPi'!E205</f>
        <v>666769.32378516637</v>
      </c>
      <c r="J8" s="239">
        <f>'Datos sobre SSPi'!E192</f>
        <v>1495221.6</v>
      </c>
      <c r="K8" s="239">
        <f>-SUM(E8:H8)</f>
        <v>-3906000</v>
      </c>
      <c r="L8" s="237">
        <v>1</v>
      </c>
      <c r="M8" s="239">
        <f>K8/L8</f>
        <v>-3906000</v>
      </c>
    </row>
    <row r="9" spans="2:13">
      <c r="D9" s="237">
        <v>1</v>
      </c>
      <c r="E9" s="238"/>
      <c r="F9" s="238"/>
      <c r="G9" s="238"/>
      <c r="H9" s="238"/>
      <c r="I9" s="239">
        <f>I8</f>
        <v>666769.32378516637</v>
      </c>
      <c r="J9" s="239">
        <f>J8*(1+$E$5)</f>
        <v>1495221.6</v>
      </c>
      <c r="K9" s="239">
        <f>J9-SUM(E9:I9)</f>
        <v>828452.27621483372</v>
      </c>
      <c r="L9" s="267">
        <f>L8*(1+$E$3)</f>
        <v>1.1200000000000001</v>
      </c>
      <c r="M9" s="239">
        <f>K9/L9</f>
        <v>739689.53233467287</v>
      </c>
    </row>
    <row r="10" spans="2:13">
      <c r="D10" s="237">
        <v>2</v>
      </c>
      <c r="E10" s="238"/>
      <c r="F10" s="238"/>
      <c r="G10" s="238"/>
      <c r="H10" s="238"/>
      <c r="I10" s="239">
        <f t="shared" ref="I10:J28" si="0">I9</f>
        <v>666769.32378516637</v>
      </c>
      <c r="J10" s="239">
        <f t="shared" ref="J10:J28" si="1">J9*(1+$E$5)</f>
        <v>1495221.6</v>
      </c>
      <c r="K10" s="239">
        <f t="shared" ref="K10:K28" si="2">J10-SUM(E10:I10)</f>
        <v>828452.27621483372</v>
      </c>
      <c r="L10" s="267">
        <f t="shared" ref="L10:L28" si="3">L9*(1+$E$3)</f>
        <v>1.2544000000000002</v>
      </c>
      <c r="M10" s="239">
        <f t="shared" ref="M10:M28" si="4">K10/L10</f>
        <v>660437.08244167222</v>
      </c>
    </row>
    <row r="11" spans="2:13">
      <c r="D11" s="237">
        <v>3</v>
      </c>
      <c r="E11" s="238"/>
      <c r="F11" s="238"/>
      <c r="G11" s="238"/>
      <c r="H11" s="238"/>
      <c r="I11" s="239">
        <f t="shared" si="0"/>
        <v>666769.32378516637</v>
      </c>
      <c r="J11" s="239">
        <f t="shared" si="1"/>
        <v>1495221.6</v>
      </c>
      <c r="K11" s="239">
        <f t="shared" si="2"/>
        <v>828452.27621483372</v>
      </c>
      <c r="L11" s="267">
        <f t="shared" si="3"/>
        <v>1.4049280000000004</v>
      </c>
      <c r="M11" s="239">
        <f t="shared" si="4"/>
        <v>589675.96646577865</v>
      </c>
    </row>
    <row r="12" spans="2:13">
      <c r="D12" s="237">
        <v>4</v>
      </c>
      <c r="E12" s="238"/>
      <c r="F12" s="238"/>
      <c r="G12" s="238"/>
      <c r="H12" s="238"/>
      <c r="I12" s="239">
        <f t="shared" si="0"/>
        <v>666769.32378516637</v>
      </c>
      <c r="J12" s="239">
        <f t="shared" si="1"/>
        <v>1495221.6</v>
      </c>
      <c r="K12" s="239">
        <f t="shared" si="2"/>
        <v>828452.27621483372</v>
      </c>
      <c r="L12" s="267">
        <f t="shared" si="3"/>
        <v>1.5735193600000006</v>
      </c>
      <c r="M12" s="239">
        <f t="shared" si="4"/>
        <v>526496.39863015944</v>
      </c>
    </row>
    <row r="13" spans="2:13">
      <c r="D13" s="237">
        <v>5</v>
      </c>
      <c r="E13" s="238"/>
      <c r="F13" s="238"/>
      <c r="G13" s="238"/>
      <c r="H13" s="238"/>
      <c r="I13" s="239">
        <f t="shared" si="0"/>
        <v>666769.32378516637</v>
      </c>
      <c r="J13" s="239">
        <f t="shared" si="1"/>
        <v>1495221.6</v>
      </c>
      <c r="K13" s="239">
        <f t="shared" si="2"/>
        <v>828452.27621483372</v>
      </c>
      <c r="L13" s="267">
        <f t="shared" si="3"/>
        <v>1.7623416832000007</v>
      </c>
      <c r="M13" s="239">
        <f t="shared" si="4"/>
        <v>470086.07020549953</v>
      </c>
    </row>
    <row r="14" spans="2:13">
      <c r="D14" s="237">
        <v>6</v>
      </c>
      <c r="E14" s="238"/>
      <c r="F14" s="238"/>
      <c r="G14" s="238"/>
      <c r="H14" s="238"/>
      <c r="I14" s="239">
        <f t="shared" si="0"/>
        <v>666769.32378516637</v>
      </c>
      <c r="J14" s="239">
        <f t="shared" si="1"/>
        <v>1495221.6</v>
      </c>
      <c r="K14" s="239">
        <f t="shared" si="2"/>
        <v>828452.27621483372</v>
      </c>
      <c r="L14" s="267">
        <f t="shared" si="3"/>
        <v>1.9738226851840011</v>
      </c>
      <c r="M14" s="239">
        <f t="shared" si="4"/>
        <v>419719.70554062451</v>
      </c>
    </row>
    <row r="15" spans="2:13">
      <c r="D15" s="237">
        <v>7</v>
      </c>
      <c r="E15" s="238"/>
      <c r="F15" s="238"/>
      <c r="G15" s="238"/>
      <c r="H15" s="238"/>
      <c r="I15" s="239">
        <f t="shared" si="0"/>
        <v>666769.32378516637</v>
      </c>
      <c r="J15" s="239">
        <f t="shared" si="1"/>
        <v>1495221.6</v>
      </c>
      <c r="K15" s="239">
        <f t="shared" si="2"/>
        <v>828452.27621483372</v>
      </c>
      <c r="L15" s="267">
        <f t="shared" si="3"/>
        <v>2.2106814074060814</v>
      </c>
      <c r="M15" s="239">
        <f t="shared" si="4"/>
        <v>374749.73708984326</v>
      </c>
    </row>
    <row r="16" spans="2:13">
      <c r="D16" s="237">
        <v>8</v>
      </c>
      <c r="E16" s="238"/>
      <c r="F16" s="238"/>
      <c r="G16" s="238"/>
      <c r="H16" s="238"/>
      <c r="I16" s="239">
        <f t="shared" si="0"/>
        <v>666769.32378516637</v>
      </c>
      <c r="J16" s="239">
        <f t="shared" si="1"/>
        <v>1495221.6</v>
      </c>
      <c r="K16" s="239">
        <f t="shared" si="2"/>
        <v>828452.27621483372</v>
      </c>
      <c r="L16" s="267">
        <f t="shared" si="3"/>
        <v>2.4759631762948113</v>
      </c>
      <c r="M16" s="239">
        <f t="shared" si="4"/>
        <v>334597.97954450292</v>
      </c>
    </row>
    <row r="17" spans="4:13">
      <c r="D17" s="237">
        <v>9</v>
      </c>
      <c r="E17" s="238"/>
      <c r="F17" s="238"/>
      <c r="G17" s="238"/>
      <c r="H17" s="238"/>
      <c r="I17" s="239">
        <f t="shared" si="0"/>
        <v>666769.32378516637</v>
      </c>
      <c r="J17" s="239">
        <f t="shared" si="1"/>
        <v>1495221.6</v>
      </c>
      <c r="K17" s="239">
        <f t="shared" si="2"/>
        <v>828452.27621483372</v>
      </c>
      <c r="L17" s="267">
        <f t="shared" si="3"/>
        <v>2.7730787574501892</v>
      </c>
      <c r="M17" s="239">
        <f t="shared" si="4"/>
        <v>298748.19602187752</v>
      </c>
    </row>
    <row r="18" spans="4:13">
      <c r="D18" s="237">
        <v>10</v>
      </c>
      <c r="E18" s="238"/>
      <c r="F18" s="238"/>
      <c r="G18" s="238"/>
      <c r="H18" s="238"/>
      <c r="I18" s="239">
        <f t="shared" si="0"/>
        <v>666769.32378516637</v>
      </c>
      <c r="J18" s="239">
        <f t="shared" si="1"/>
        <v>1495221.6</v>
      </c>
      <c r="K18" s="239">
        <f t="shared" si="2"/>
        <v>828452.27621483372</v>
      </c>
      <c r="L18" s="267">
        <f t="shared" si="3"/>
        <v>3.105848208344212</v>
      </c>
      <c r="M18" s="239">
        <f t="shared" si="4"/>
        <v>266739.46073381923</v>
      </c>
    </row>
    <row r="19" spans="4:13">
      <c r="D19" s="237">
        <v>11</v>
      </c>
      <c r="E19" s="238"/>
      <c r="F19" s="238"/>
      <c r="G19" s="238"/>
      <c r="H19" s="238"/>
      <c r="I19" s="239">
        <f t="shared" si="0"/>
        <v>666769.32378516637</v>
      </c>
      <c r="J19" s="239">
        <f t="shared" si="1"/>
        <v>1495221.6</v>
      </c>
      <c r="K19" s="239">
        <f t="shared" si="2"/>
        <v>828452.27621483372</v>
      </c>
      <c r="L19" s="267">
        <f t="shared" si="3"/>
        <v>3.478549993345518</v>
      </c>
      <c r="M19" s="239">
        <f t="shared" si="4"/>
        <v>238160.23279805284</v>
      </c>
    </row>
    <row r="20" spans="4:13">
      <c r="D20" s="237">
        <v>12</v>
      </c>
      <c r="E20" s="238"/>
      <c r="F20" s="238"/>
      <c r="G20" s="238"/>
      <c r="H20" s="238"/>
      <c r="I20" s="239">
        <f t="shared" si="0"/>
        <v>666769.32378516637</v>
      </c>
      <c r="J20" s="239">
        <f t="shared" si="1"/>
        <v>1495221.6</v>
      </c>
      <c r="K20" s="239">
        <f t="shared" si="2"/>
        <v>828452.27621483372</v>
      </c>
      <c r="L20" s="267">
        <f t="shared" si="3"/>
        <v>3.8959759925469806</v>
      </c>
      <c r="M20" s="239">
        <f t="shared" si="4"/>
        <v>212643.06499826143</v>
      </c>
    </row>
    <row r="21" spans="4:13">
      <c r="D21" s="237">
        <v>13</v>
      </c>
      <c r="E21" s="238"/>
      <c r="F21" s="238"/>
      <c r="G21" s="238"/>
      <c r="H21" s="238"/>
      <c r="I21" s="239">
        <f t="shared" si="0"/>
        <v>666769.32378516637</v>
      </c>
      <c r="J21" s="239">
        <f t="shared" si="1"/>
        <v>1495221.6</v>
      </c>
      <c r="K21" s="239">
        <f t="shared" si="2"/>
        <v>828452.27621483372</v>
      </c>
      <c r="L21" s="267">
        <f t="shared" si="3"/>
        <v>4.3634931116526188</v>
      </c>
      <c r="M21" s="239">
        <f>K21/L21</f>
        <v>189859.8794627334</v>
      </c>
    </row>
    <row r="22" spans="4:13">
      <c r="D22" s="237">
        <v>14</v>
      </c>
      <c r="E22" s="238"/>
      <c r="F22" s="238"/>
      <c r="G22" s="238"/>
      <c r="H22" s="238"/>
      <c r="I22" s="239">
        <f t="shared" si="0"/>
        <v>666769.32378516637</v>
      </c>
      <c r="J22" s="239">
        <f t="shared" si="1"/>
        <v>1495221.6</v>
      </c>
      <c r="K22" s="239">
        <f t="shared" si="2"/>
        <v>828452.27621483372</v>
      </c>
      <c r="L22" s="267">
        <f t="shared" si="3"/>
        <v>4.8871122850509332</v>
      </c>
      <c r="M22" s="239">
        <f t="shared" si="4"/>
        <v>169517.74952029769</v>
      </c>
    </row>
    <row r="23" spans="4:13">
      <c r="D23" s="237">
        <v>15</v>
      </c>
      <c r="E23" s="238"/>
      <c r="F23" s="238"/>
      <c r="G23" s="238"/>
      <c r="H23" s="238"/>
      <c r="I23" s="239">
        <f t="shared" si="0"/>
        <v>666769.32378516637</v>
      </c>
      <c r="J23" s="239">
        <f t="shared" si="1"/>
        <v>1495221.6</v>
      </c>
      <c r="K23" s="239">
        <f t="shared" si="2"/>
        <v>828452.27621483372</v>
      </c>
      <c r="L23" s="267">
        <f t="shared" si="3"/>
        <v>5.4735657592570455</v>
      </c>
      <c r="M23" s="239">
        <f t="shared" si="4"/>
        <v>151355.13350026577</v>
      </c>
    </row>
    <row r="24" spans="4:13">
      <c r="D24" s="237">
        <v>16</v>
      </c>
      <c r="E24" s="238"/>
      <c r="F24" s="238"/>
      <c r="G24" s="238"/>
      <c r="H24" s="238"/>
      <c r="I24" s="239">
        <f t="shared" si="0"/>
        <v>666769.32378516637</v>
      </c>
      <c r="J24" s="239">
        <f t="shared" si="1"/>
        <v>1495221.6</v>
      </c>
      <c r="K24" s="239">
        <f t="shared" si="2"/>
        <v>828452.27621483372</v>
      </c>
      <c r="L24" s="267">
        <f t="shared" si="3"/>
        <v>6.1303936503678917</v>
      </c>
      <c r="M24" s="239">
        <f t="shared" si="4"/>
        <v>135138.51205380872</v>
      </c>
    </row>
    <row r="25" spans="4:13">
      <c r="D25" s="237">
        <v>17</v>
      </c>
      <c r="E25" s="238"/>
      <c r="F25" s="238"/>
      <c r="G25" s="238"/>
      <c r="H25" s="238"/>
      <c r="I25" s="239">
        <f t="shared" si="0"/>
        <v>666769.32378516637</v>
      </c>
      <c r="J25" s="239">
        <f t="shared" si="1"/>
        <v>1495221.6</v>
      </c>
      <c r="K25" s="239">
        <f t="shared" si="2"/>
        <v>828452.27621483372</v>
      </c>
      <c r="L25" s="267">
        <f t="shared" si="3"/>
        <v>6.866040888412039</v>
      </c>
      <c r="M25" s="239">
        <f t="shared" si="4"/>
        <v>120659.3857623292</v>
      </c>
    </row>
    <row r="26" spans="4:13">
      <c r="D26" s="237">
        <v>18</v>
      </c>
      <c r="E26" s="238"/>
      <c r="F26" s="238"/>
      <c r="G26" s="238"/>
      <c r="H26" s="238"/>
      <c r="I26" s="239">
        <f t="shared" si="0"/>
        <v>666769.32378516637</v>
      </c>
      <c r="J26" s="239">
        <f t="shared" si="1"/>
        <v>1495221.6</v>
      </c>
      <c r="K26" s="239">
        <f t="shared" si="2"/>
        <v>828452.27621483372</v>
      </c>
      <c r="L26" s="267">
        <f t="shared" si="3"/>
        <v>7.6899657950214841</v>
      </c>
      <c r="M26" s="239">
        <f t="shared" si="4"/>
        <v>107731.59443065106</v>
      </c>
    </row>
    <row r="27" spans="4:13">
      <c r="D27" s="237">
        <v>19</v>
      </c>
      <c r="E27" s="238"/>
      <c r="F27" s="238"/>
      <c r="G27" s="238"/>
      <c r="H27" s="238"/>
      <c r="I27" s="239">
        <f t="shared" si="0"/>
        <v>666769.32378516637</v>
      </c>
      <c r="J27" s="239">
        <f t="shared" si="1"/>
        <v>1495221.6</v>
      </c>
      <c r="K27" s="239">
        <f t="shared" si="2"/>
        <v>828452.27621483372</v>
      </c>
      <c r="L27" s="267">
        <f t="shared" si="3"/>
        <v>8.6127616904240636</v>
      </c>
      <c r="M27" s="239">
        <f t="shared" si="4"/>
        <v>96188.923598795576</v>
      </c>
    </row>
    <row r="28" spans="4:13">
      <c r="D28" s="237">
        <v>20</v>
      </c>
      <c r="E28" s="238"/>
      <c r="F28" s="238"/>
      <c r="G28" s="238"/>
      <c r="H28" s="238"/>
      <c r="I28" s="239">
        <f t="shared" si="0"/>
        <v>666769.32378516637</v>
      </c>
      <c r="J28" s="239">
        <f t="shared" si="1"/>
        <v>1495221.6</v>
      </c>
      <c r="K28" s="239">
        <f t="shared" si="2"/>
        <v>828452.27621483372</v>
      </c>
      <c r="L28" s="267">
        <f t="shared" si="3"/>
        <v>9.6462930932749522</v>
      </c>
      <c r="M28" s="239">
        <f t="shared" si="4"/>
        <v>85882.967498924612</v>
      </c>
    </row>
    <row r="29" spans="4:13">
      <c r="D29" s="123"/>
      <c r="E29" s="231"/>
      <c r="F29" s="231"/>
      <c r="G29" s="231"/>
      <c r="H29" s="231"/>
      <c r="I29" s="123"/>
      <c r="J29" s="123"/>
      <c r="K29" s="123"/>
      <c r="L29" s="235" t="s">
        <v>279</v>
      </c>
      <c r="M29" s="236">
        <f>SUM(M8:M28)</f>
        <v>2282077.5726325703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9E4FA-7F74-4D89-8C33-48DDB5B94955}">
  <dimension ref="B1:M29"/>
  <sheetViews>
    <sheetView workbookViewId="0">
      <selection activeCell="J9" sqref="J9:J28"/>
    </sheetView>
  </sheetViews>
  <sheetFormatPr baseColWidth="10" defaultRowHeight="15"/>
  <cols>
    <col min="5" max="8" width="14" style="1" customWidth="1"/>
    <col min="9" max="11" width="14" customWidth="1"/>
    <col min="12" max="13" width="14.140625" customWidth="1"/>
  </cols>
  <sheetData>
    <row r="1" spans="2:13" ht="21">
      <c r="B1" s="261" t="s">
        <v>305</v>
      </c>
    </row>
    <row r="3" spans="2:13">
      <c r="D3" s="235" t="s">
        <v>229</v>
      </c>
      <c r="E3" s="234">
        <f>'Análisis a VPN SSPi sequía'!E3</f>
        <v>0.12</v>
      </c>
    </row>
    <row r="4" spans="2:13">
      <c r="D4" s="235" t="s">
        <v>271</v>
      </c>
      <c r="E4" s="231">
        <f>'Datos sobre SSPi'!F207</f>
        <v>0</v>
      </c>
    </row>
    <row r="5" spans="2:13">
      <c r="D5" s="235" t="s">
        <v>385</v>
      </c>
      <c r="E5" s="340">
        <f>'Análisis a VPN SSPi sequía'!E5</f>
        <v>0</v>
      </c>
    </row>
    <row r="6" spans="2:13">
      <c r="D6" s="235" t="s">
        <v>275</v>
      </c>
      <c r="E6" s="231">
        <f>'Datos sobre SSPi'!F25</f>
        <v>20</v>
      </c>
      <c r="F6" s="231">
        <f>'Datos sobre SSPi'!F25</f>
        <v>20</v>
      </c>
      <c r="G6" s="231">
        <f>'Datos sobre SSPi'!F27</f>
        <v>10</v>
      </c>
      <c r="H6" s="231">
        <f>'Datos sobre SSPi'!F29</f>
        <v>5</v>
      </c>
      <c r="I6" s="231"/>
      <c r="J6" s="123"/>
      <c r="K6" s="123"/>
    </row>
    <row r="7" spans="2:13" ht="25.5">
      <c r="D7" s="230" t="s">
        <v>274</v>
      </c>
      <c r="E7" s="230" t="s">
        <v>265</v>
      </c>
      <c r="F7" s="230" t="s">
        <v>51</v>
      </c>
      <c r="G7" s="230" t="s">
        <v>8</v>
      </c>
      <c r="H7" s="230" t="s">
        <v>54</v>
      </c>
      <c r="I7" s="233" t="s">
        <v>273</v>
      </c>
      <c r="J7" s="230" t="s">
        <v>80</v>
      </c>
      <c r="K7" s="230" t="s">
        <v>278</v>
      </c>
      <c r="L7" s="230" t="s">
        <v>277</v>
      </c>
      <c r="M7" s="230" t="s">
        <v>276</v>
      </c>
    </row>
    <row r="8" spans="2:13">
      <c r="D8" s="237">
        <v>0</v>
      </c>
      <c r="E8" s="238">
        <f>'Datos sobre SSPi'!F120*E4</f>
        <v>0</v>
      </c>
      <c r="F8" s="238">
        <f>'Datos sobre SSPi'!F121</f>
        <v>123000</v>
      </c>
      <c r="G8" s="238">
        <f>'Datos sobre SSPi'!F122</f>
        <v>25000</v>
      </c>
      <c r="H8" s="238">
        <f>'Datos sobre SSPi'!F123</f>
        <v>946000</v>
      </c>
      <c r="I8" s="239">
        <f>'Datos sobre SSPi'!F205</f>
        <v>536388.005</v>
      </c>
      <c r="J8" s="239">
        <f>'Datos sobre SSPi'!F192</f>
        <v>747610.8</v>
      </c>
      <c r="K8" s="239">
        <f>-SUM(E8:H8)</f>
        <v>-1094000</v>
      </c>
      <c r="L8" s="3">
        <v>1</v>
      </c>
      <c r="M8" s="239">
        <f>K8/L8</f>
        <v>-1094000</v>
      </c>
    </row>
    <row r="9" spans="2:13">
      <c r="D9" s="237">
        <v>1</v>
      </c>
      <c r="E9" s="238"/>
      <c r="F9" s="238"/>
      <c r="G9" s="238"/>
      <c r="H9" s="238"/>
      <c r="I9" s="239">
        <f>I8</f>
        <v>536388.005</v>
      </c>
      <c r="J9" s="239">
        <f>J8*(1+$E$5)</f>
        <v>747610.8</v>
      </c>
      <c r="K9" s="239">
        <f>J9-SUM(E9:I9)</f>
        <v>211222.79500000004</v>
      </c>
      <c r="L9" s="240">
        <f>L8*(1+$E$3)</f>
        <v>1.1200000000000001</v>
      </c>
      <c r="M9" s="189">
        <f>K9/L9</f>
        <v>188591.78125000003</v>
      </c>
    </row>
    <row r="10" spans="2:13">
      <c r="D10" s="237">
        <v>2</v>
      </c>
      <c r="E10" s="238"/>
      <c r="F10" s="238"/>
      <c r="G10" s="238"/>
      <c r="H10" s="238"/>
      <c r="I10" s="239">
        <f t="shared" ref="I10:J28" si="0">I9</f>
        <v>536388.005</v>
      </c>
      <c r="J10" s="239">
        <f t="shared" ref="J10:J28" si="1">J9*(1+$E$5)</f>
        <v>747610.8</v>
      </c>
      <c r="K10" s="239">
        <f t="shared" ref="K10:K28" si="2">J10-SUM(E10:I10)</f>
        <v>211222.79500000004</v>
      </c>
      <c r="L10" s="240">
        <f t="shared" ref="L10:L28" si="3">L9*(1+$E$3)</f>
        <v>1.2544000000000002</v>
      </c>
      <c r="M10" s="189">
        <f t="shared" ref="M10:M28" si="4">K10/L10</f>
        <v>168385.51897321429</v>
      </c>
    </row>
    <row r="11" spans="2:13">
      <c r="D11" s="237">
        <v>3</v>
      </c>
      <c r="E11" s="238"/>
      <c r="F11" s="238"/>
      <c r="G11" s="238"/>
      <c r="H11" s="238"/>
      <c r="I11" s="239">
        <f t="shared" si="0"/>
        <v>536388.005</v>
      </c>
      <c r="J11" s="239">
        <f t="shared" si="1"/>
        <v>747610.8</v>
      </c>
      <c r="K11" s="239">
        <f t="shared" si="2"/>
        <v>211222.79500000004</v>
      </c>
      <c r="L11" s="240">
        <f t="shared" si="3"/>
        <v>1.4049280000000004</v>
      </c>
      <c r="M11" s="189">
        <f t="shared" si="4"/>
        <v>150344.2133689413</v>
      </c>
    </row>
    <row r="12" spans="2:13">
      <c r="D12" s="237">
        <v>4</v>
      </c>
      <c r="E12" s="238"/>
      <c r="F12" s="238"/>
      <c r="G12" s="238"/>
      <c r="H12" s="238"/>
      <c r="I12" s="239">
        <f t="shared" si="0"/>
        <v>536388.005</v>
      </c>
      <c r="J12" s="239">
        <f t="shared" si="1"/>
        <v>747610.8</v>
      </c>
      <c r="K12" s="239">
        <f t="shared" si="2"/>
        <v>211222.79500000004</v>
      </c>
      <c r="L12" s="240">
        <f t="shared" si="3"/>
        <v>1.5735193600000006</v>
      </c>
      <c r="M12" s="189">
        <f t="shared" si="4"/>
        <v>134235.90479369758</v>
      </c>
    </row>
    <row r="13" spans="2:13">
      <c r="D13" s="237">
        <v>5</v>
      </c>
      <c r="E13" s="238"/>
      <c r="F13" s="238"/>
      <c r="G13" s="238"/>
      <c r="H13" s="238"/>
      <c r="I13" s="239">
        <f t="shared" si="0"/>
        <v>536388.005</v>
      </c>
      <c r="J13" s="239">
        <f t="shared" si="1"/>
        <v>747610.8</v>
      </c>
      <c r="K13" s="239">
        <f t="shared" si="2"/>
        <v>211222.79500000004</v>
      </c>
      <c r="L13" s="240">
        <f t="shared" si="3"/>
        <v>1.7623416832000007</v>
      </c>
      <c r="M13" s="189">
        <f t="shared" si="4"/>
        <v>119853.48642294428</v>
      </c>
    </row>
    <row r="14" spans="2:13">
      <c r="D14" s="237">
        <v>6</v>
      </c>
      <c r="E14" s="238"/>
      <c r="F14" s="238"/>
      <c r="G14" s="238"/>
      <c r="H14" s="238"/>
      <c r="I14" s="239">
        <f t="shared" si="0"/>
        <v>536388.005</v>
      </c>
      <c r="J14" s="239">
        <f t="shared" si="1"/>
        <v>747610.8</v>
      </c>
      <c r="K14" s="239">
        <f t="shared" si="2"/>
        <v>211222.79500000004</v>
      </c>
      <c r="L14" s="240">
        <f t="shared" si="3"/>
        <v>1.9738226851840011</v>
      </c>
      <c r="M14" s="189">
        <f t="shared" si="4"/>
        <v>107012.04144905737</v>
      </c>
    </row>
    <row r="15" spans="2:13">
      <c r="D15" s="237">
        <v>7</v>
      </c>
      <c r="E15" s="238"/>
      <c r="F15" s="238"/>
      <c r="G15" s="238"/>
      <c r="H15" s="238"/>
      <c r="I15" s="239">
        <f t="shared" si="0"/>
        <v>536388.005</v>
      </c>
      <c r="J15" s="239">
        <f t="shared" si="1"/>
        <v>747610.8</v>
      </c>
      <c r="K15" s="239">
        <f t="shared" si="2"/>
        <v>211222.79500000004</v>
      </c>
      <c r="L15" s="240">
        <f t="shared" si="3"/>
        <v>2.2106814074060814</v>
      </c>
      <c r="M15" s="189">
        <f t="shared" si="4"/>
        <v>95546.465579515498</v>
      </c>
    </row>
    <row r="16" spans="2:13">
      <c r="D16" s="237">
        <v>8</v>
      </c>
      <c r="E16" s="238"/>
      <c r="F16" s="238"/>
      <c r="G16" s="238"/>
      <c r="H16" s="238"/>
      <c r="I16" s="239">
        <f t="shared" si="0"/>
        <v>536388.005</v>
      </c>
      <c r="J16" s="239">
        <f t="shared" si="1"/>
        <v>747610.8</v>
      </c>
      <c r="K16" s="239">
        <f t="shared" si="2"/>
        <v>211222.79500000004</v>
      </c>
      <c r="L16" s="240">
        <f t="shared" si="3"/>
        <v>2.4759631762948113</v>
      </c>
      <c r="M16" s="189">
        <f t="shared" si="4"/>
        <v>85309.344267424545</v>
      </c>
    </row>
    <row r="17" spans="4:13">
      <c r="D17" s="237">
        <v>9</v>
      </c>
      <c r="E17" s="238"/>
      <c r="F17" s="238"/>
      <c r="G17" s="238"/>
      <c r="H17" s="238"/>
      <c r="I17" s="239">
        <f t="shared" si="0"/>
        <v>536388.005</v>
      </c>
      <c r="J17" s="239">
        <f t="shared" si="1"/>
        <v>747610.8</v>
      </c>
      <c r="K17" s="239">
        <f t="shared" si="2"/>
        <v>211222.79500000004</v>
      </c>
      <c r="L17" s="240">
        <f t="shared" si="3"/>
        <v>2.7730787574501892</v>
      </c>
      <c r="M17" s="189">
        <f t="shared" si="4"/>
        <v>76169.057381629042</v>
      </c>
    </row>
    <row r="18" spans="4:13">
      <c r="D18" s="237">
        <v>10</v>
      </c>
      <c r="E18" s="238"/>
      <c r="F18" s="238"/>
      <c r="G18" s="238"/>
      <c r="H18" s="238"/>
      <c r="I18" s="239">
        <f t="shared" si="0"/>
        <v>536388.005</v>
      </c>
      <c r="J18" s="239">
        <f t="shared" si="1"/>
        <v>747610.8</v>
      </c>
      <c r="K18" s="239">
        <f t="shared" si="2"/>
        <v>211222.79500000004</v>
      </c>
      <c r="L18" s="240">
        <f t="shared" si="3"/>
        <v>3.105848208344212</v>
      </c>
      <c r="M18" s="189">
        <f t="shared" si="4"/>
        <v>68008.086947883072</v>
      </c>
    </row>
    <row r="19" spans="4:13">
      <c r="D19" s="237">
        <v>11</v>
      </c>
      <c r="E19" s="238"/>
      <c r="F19" s="238"/>
      <c r="G19" s="238"/>
      <c r="H19" s="238"/>
      <c r="I19" s="239">
        <f t="shared" si="0"/>
        <v>536388.005</v>
      </c>
      <c r="J19" s="239">
        <f t="shared" si="1"/>
        <v>747610.8</v>
      </c>
      <c r="K19" s="239">
        <f t="shared" si="2"/>
        <v>211222.79500000004</v>
      </c>
      <c r="L19" s="240">
        <f t="shared" si="3"/>
        <v>3.478549993345518</v>
      </c>
      <c r="M19" s="189">
        <f t="shared" si="4"/>
        <v>60721.506203467026</v>
      </c>
    </row>
    <row r="20" spans="4:13">
      <c r="D20" s="237">
        <v>12</v>
      </c>
      <c r="E20" s="238"/>
      <c r="F20" s="238"/>
      <c r="G20" s="238"/>
      <c r="H20" s="238"/>
      <c r="I20" s="239">
        <f t="shared" si="0"/>
        <v>536388.005</v>
      </c>
      <c r="J20" s="239">
        <f t="shared" si="1"/>
        <v>747610.8</v>
      </c>
      <c r="K20" s="239">
        <f t="shared" si="2"/>
        <v>211222.79500000004</v>
      </c>
      <c r="L20" s="240">
        <f t="shared" si="3"/>
        <v>3.8959759925469806</v>
      </c>
      <c r="M20" s="189">
        <f t="shared" si="4"/>
        <v>54215.630538809834</v>
      </c>
    </row>
    <row r="21" spans="4:13">
      <c r="D21" s="237">
        <v>13</v>
      </c>
      <c r="E21" s="238"/>
      <c r="F21" s="238"/>
      <c r="G21" s="238"/>
      <c r="H21" s="238"/>
      <c r="I21" s="239">
        <f t="shared" si="0"/>
        <v>536388.005</v>
      </c>
      <c r="J21" s="239">
        <f t="shared" si="1"/>
        <v>747610.8</v>
      </c>
      <c r="K21" s="239">
        <f t="shared" si="2"/>
        <v>211222.79500000004</v>
      </c>
      <c r="L21" s="240">
        <f t="shared" si="3"/>
        <v>4.3634931116526188</v>
      </c>
      <c r="M21" s="189">
        <f>K21/L21</f>
        <v>48406.812981080206</v>
      </c>
    </row>
    <row r="22" spans="4:13">
      <c r="D22" s="237">
        <v>14</v>
      </c>
      <c r="E22" s="238"/>
      <c r="F22" s="238"/>
      <c r="G22" s="238"/>
      <c r="H22" s="238"/>
      <c r="I22" s="239">
        <f t="shared" si="0"/>
        <v>536388.005</v>
      </c>
      <c r="J22" s="239">
        <f t="shared" si="1"/>
        <v>747610.8</v>
      </c>
      <c r="K22" s="239">
        <f t="shared" si="2"/>
        <v>211222.79500000004</v>
      </c>
      <c r="L22" s="240">
        <f t="shared" si="3"/>
        <v>4.8871122850509332</v>
      </c>
      <c r="M22" s="189">
        <f t="shared" si="4"/>
        <v>43220.368733107323</v>
      </c>
    </row>
    <row r="23" spans="4:13">
      <c r="D23" s="237">
        <v>15</v>
      </c>
      <c r="E23" s="238"/>
      <c r="F23" s="238"/>
      <c r="G23" s="238"/>
      <c r="H23" s="238"/>
      <c r="I23" s="239">
        <f t="shared" si="0"/>
        <v>536388.005</v>
      </c>
      <c r="J23" s="239">
        <f t="shared" si="1"/>
        <v>747610.8</v>
      </c>
      <c r="K23" s="239">
        <f t="shared" si="2"/>
        <v>211222.79500000004</v>
      </c>
      <c r="L23" s="240">
        <f t="shared" si="3"/>
        <v>5.4735657592570455</v>
      </c>
      <c r="M23" s="189">
        <f t="shared" si="4"/>
        <v>38589.614940274398</v>
      </c>
    </row>
    <row r="24" spans="4:13">
      <c r="D24" s="237">
        <v>16</v>
      </c>
      <c r="E24" s="238"/>
      <c r="F24" s="238"/>
      <c r="G24" s="238"/>
      <c r="H24" s="238"/>
      <c r="I24" s="239">
        <f t="shared" si="0"/>
        <v>536388.005</v>
      </c>
      <c r="J24" s="239">
        <f t="shared" si="1"/>
        <v>747610.8</v>
      </c>
      <c r="K24" s="239">
        <f t="shared" si="2"/>
        <v>211222.79500000004</v>
      </c>
      <c r="L24" s="240">
        <f t="shared" si="3"/>
        <v>6.1303936503678917</v>
      </c>
      <c r="M24" s="189">
        <f t="shared" si="4"/>
        <v>34455.013339530706</v>
      </c>
    </row>
    <row r="25" spans="4:13">
      <c r="D25" s="237">
        <v>17</v>
      </c>
      <c r="E25" s="238"/>
      <c r="F25" s="238"/>
      <c r="G25" s="238"/>
      <c r="H25" s="238"/>
      <c r="I25" s="239">
        <f t="shared" si="0"/>
        <v>536388.005</v>
      </c>
      <c r="J25" s="239">
        <f t="shared" si="1"/>
        <v>747610.8</v>
      </c>
      <c r="K25" s="239">
        <f t="shared" si="2"/>
        <v>211222.79500000004</v>
      </c>
      <c r="L25" s="240">
        <f t="shared" si="3"/>
        <v>6.866040888412039</v>
      </c>
      <c r="M25" s="189">
        <f t="shared" si="4"/>
        <v>30763.404767438129</v>
      </c>
    </row>
    <row r="26" spans="4:13">
      <c r="D26" s="237">
        <v>18</v>
      </c>
      <c r="E26" s="238"/>
      <c r="F26" s="238"/>
      <c r="G26" s="238"/>
      <c r="H26" s="238"/>
      <c r="I26" s="239">
        <f t="shared" si="0"/>
        <v>536388.005</v>
      </c>
      <c r="J26" s="239">
        <f t="shared" si="1"/>
        <v>747610.8</v>
      </c>
      <c r="K26" s="239">
        <f t="shared" si="2"/>
        <v>211222.79500000004</v>
      </c>
      <c r="L26" s="240">
        <f t="shared" si="3"/>
        <v>7.6899657950214841</v>
      </c>
      <c r="M26" s="189">
        <f t="shared" si="4"/>
        <v>27467.325685212614</v>
      </c>
    </row>
    <row r="27" spans="4:13">
      <c r="D27" s="237">
        <v>19</v>
      </c>
      <c r="E27" s="238"/>
      <c r="F27" s="238"/>
      <c r="G27" s="238"/>
      <c r="H27" s="238"/>
      <c r="I27" s="239">
        <f t="shared" si="0"/>
        <v>536388.005</v>
      </c>
      <c r="J27" s="239">
        <f t="shared" si="1"/>
        <v>747610.8</v>
      </c>
      <c r="K27" s="239">
        <f t="shared" si="2"/>
        <v>211222.79500000004</v>
      </c>
      <c r="L27" s="240">
        <f t="shared" si="3"/>
        <v>8.6127616904240636</v>
      </c>
      <c r="M27" s="189">
        <f t="shared" si="4"/>
        <v>24524.397933225544</v>
      </c>
    </row>
    <row r="28" spans="4:13">
      <c r="D28" s="237">
        <v>20</v>
      </c>
      <c r="E28" s="238"/>
      <c r="F28" s="238"/>
      <c r="G28" s="238"/>
      <c r="H28" s="238"/>
      <c r="I28" s="239">
        <f t="shared" si="0"/>
        <v>536388.005</v>
      </c>
      <c r="J28" s="239">
        <f t="shared" si="1"/>
        <v>747610.8</v>
      </c>
      <c r="K28" s="239">
        <f t="shared" si="2"/>
        <v>211222.79500000004</v>
      </c>
      <c r="L28" s="240">
        <f t="shared" si="3"/>
        <v>9.6462930932749522</v>
      </c>
      <c r="M28" s="189">
        <f t="shared" si="4"/>
        <v>21896.783868951377</v>
      </c>
    </row>
    <row r="29" spans="4:13">
      <c r="L29" s="153" t="s">
        <v>279</v>
      </c>
      <c r="M29" s="8">
        <f>SUM(M8:M28)</f>
        <v>483716.75942540425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B32E-2EA9-40B4-89E4-66195F058453}">
  <dimension ref="B3:AC59"/>
  <sheetViews>
    <sheetView topLeftCell="K21" zoomScale="110" zoomScaleNormal="110" workbookViewId="0">
      <selection activeCell="L28" sqref="L28"/>
    </sheetView>
  </sheetViews>
  <sheetFormatPr baseColWidth="10" defaultRowHeight="15"/>
  <cols>
    <col min="4" max="6" width="15.5703125" customWidth="1"/>
    <col min="9" max="11" width="15.5703125" customWidth="1"/>
  </cols>
  <sheetData>
    <row r="3" spans="3:11">
      <c r="C3" s="291" t="s">
        <v>382</v>
      </c>
      <c r="D3" s="291"/>
      <c r="E3" s="291"/>
      <c r="F3" s="291"/>
      <c r="G3" s="291"/>
      <c r="H3" s="291"/>
      <c r="I3" s="291"/>
      <c r="J3" s="291"/>
      <c r="K3" s="291"/>
    </row>
    <row r="4" spans="3:11">
      <c r="I4" s="291" t="s">
        <v>324</v>
      </c>
      <c r="J4" s="291"/>
      <c r="K4" s="291"/>
    </row>
    <row r="5" spans="3:11">
      <c r="C5" s="277" t="s">
        <v>274</v>
      </c>
      <c r="D5" s="277" t="s">
        <v>321</v>
      </c>
      <c r="E5" s="277" t="s">
        <v>322</v>
      </c>
      <c r="F5" s="277" t="s">
        <v>323</v>
      </c>
      <c r="H5" s="277" t="s">
        <v>274</v>
      </c>
      <c r="I5" s="277" t="s">
        <v>321</v>
      </c>
      <c r="J5" s="277" t="s">
        <v>322</v>
      </c>
      <c r="K5" s="277" t="s">
        <v>323</v>
      </c>
    </row>
    <row r="6" spans="3:11">
      <c r="C6" s="276">
        <v>0</v>
      </c>
      <c r="D6" s="8">
        <f>'Análisis a VPN SSPi sequía'!M8</f>
        <v>-3906000</v>
      </c>
      <c r="E6" s="8">
        <f>'Análisis a VPN SSPi normal'!M8</f>
        <v>-3906000</v>
      </c>
      <c r="F6" s="8">
        <f>'Análisis a VPN Conv-Línea base'!M8</f>
        <v>-1094000</v>
      </c>
      <c r="H6" s="276">
        <v>0</v>
      </c>
      <c r="I6" s="8">
        <f>D6</f>
        <v>-3906000</v>
      </c>
      <c r="J6" s="8">
        <f t="shared" ref="J6:K6" si="0">E6</f>
        <v>-3906000</v>
      </c>
      <c r="K6" s="8">
        <f t="shared" si="0"/>
        <v>-1094000</v>
      </c>
    </row>
    <row r="7" spans="3:11">
      <c r="C7" s="276">
        <v>1</v>
      </c>
      <c r="D7" s="8">
        <f>'Análisis a VPN SSPi sequía'!M9</f>
        <v>651497.85714285716</v>
      </c>
      <c r="E7" s="8">
        <f>'Análisis a VPN SSPi normal'!M9</f>
        <v>739689.53233467287</v>
      </c>
      <c r="F7" s="8">
        <f>'Análisis a VPN Conv-Línea base'!M9</f>
        <v>188591.78125000003</v>
      </c>
      <c r="H7" s="276">
        <v>1</v>
      </c>
      <c r="I7" s="8">
        <f>I6+D7</f>
        <v>-3254502.1428571427</v>
      </c>
      <c r="J7" s="8">
        <f>J6+E7</f>
        <v>-3166310.4676653272</v>
      </c>
      <c r="K7" s="8">
        <f t="shared" ref="K7" si="1">K6+F7</f>
        <v>-905408.21875</v>
      </c>
    </row>
    <row r="8" spans="3:11">
      <c r="C8" s="276">
        <v>2</v>
      </c>
      <c r="D8" s="8">
        <f>'Análisis a VPN SSPi sequía'!M10</f>
        <v>581694.51530612248</v>
      </c>
      <c r="E8" s="8">
        <f>'Análisis a VPN SSPi normal'!M10</f>
        <v>660437.08244167222</v>
      </c>
      <c r="F8" s="8">
        <f>'Análisis a VPN Conv-Línea base'!M10</f>
        <v>168385.51897321429</v>
      </c>
      <c r="H8" s="276">
        <v>2</v>
      </c>
      <c r="I8" s="8">
        <f>I7+D8</f>
        <v>-2672807.6275510201</v>
      </c>
      <c r="J8" s="8">
        <f>J7+E8</f>
        <v>-2505873.385223655</v>
      </c>
      <c r="K8" s="8">
        <f t="shared" ref="K8" si="2">K7+F8</f>
        <v>-737022.69977678568</v>
      </c>
    </row>
    <row r="9" spans="3:11">
      <c r="C9" s="276">
        <v>3</v>
      </c>
      <c r="D9" s="8">
        <f>'Análisis a VPN SSPi sequía'!M11</f>
        <v>519370.10295189498</v>
      </c>
      <c r="E9" s="8">
        <f>'Análisis a VPN SSPi normal'!M11</f>
        <v>589675.96646577865</v>
      </c>
      <c r="F9" s="8">
        <f>'Análisis a VPN Conv-Línea base'!M11</f>
        <v>150344.2133689413</v>
      </c>
      <c r="H9" s="276">
        <v>3</v>
      </c>
      <c r="I9" s="8">
        <f t="shared" ref="I9:I26" si="3">I8+D9</f>
        <v>-2153437.5245991251</v>
      </c>
      <c r="J9" s="8">
        <f t="shared" ref="J9:J26" si="4">J8+E9</f>
        <v>-1916197.4187578764</v>
      </c>
      <c r="K9" s="8">
        <f t="shared" ref="K9:K26" si="5">K8+F9</f>
        <v>-586678.48640784435</v>
      </c>
    </row>
    <row r="10" spans="3:11">
      <c r="C10" s="276">
        <v>4</v>
      </c>
      <c r="D10" s="8">
        <f>'Análisis a VPN SSPi sequía'!M12</f>
        <v>463723.30620704906</v>
      </c>
      <c r="E10" s="8">
        <f>'Análisis a VPN SSPi normal'!M12</f>
        <v>526496.39863015944</v>
      </c>
      <c r="F10" s="8">
        <f>'Análisis a VPN Conv-Línea base'!M12</f>
        <v>134235.90479369758</v>
      </c>
      <c r="H10" s="276">
        <v>4</v>
      </c>
      <c r="I10" s="8">
        <f t="shared" si="3"/>
        <v>-1689714.218392076</v>
      </c>
      <c r="J10" s="8">
        <f t="shared" si="4"/>
        <v>-1389701.0201277169</v>
      </c>
      <c r="K10" s="8">
        <f t="shared" si="5"/>
        <v>-452442.58161414677</v>
      </c>
    </row>
    <row r="11" spans="3:11">
      <c r="C11" s="276">
        <v>5</v>
      </c>
      <c r="D11" s="8">
        <f>'Análisis a VPN SSPi sequía'!M13</f>
        <v>414038.66625629377</v>
      </c>
      <c r="E11" s="8">
        <f>'Análisis a VPN SSPi normal'!M13</f>
        <v>470086.07020549953</v>
      </c>
      <c r="F11" s="8">
        <f>'Análisis a VPN Conv-Línea base'!M13</f>
        <v>119853.48642294428</v>
      </c>
      <c r="H11" s="276">
        <v>5</v>
      </c>
      <c r="I11" s="8">
        <f t="shared" si="3"/>
        <v>-1275675.5521357823</v>
      </c>
      <c r="J11" s="8">
        <f t="shared" si="4"/>
        <v>-919614.94992221741</v>
      </c>
      <c r="K11" s="8">
        <f t="shared" si="5"/>
        <v>-332589.09519120248</v>
      </c>
    </row>
    <row r="12" spans="3:11">
      <c r="C12" s="276">
        <v>6</v>
      </c>
      <c r="D12" s="8">
        <f>'Análisis a VPN SSPi sequía'!M14</f>
        <v>369677.38058597653</v>
      </c>
      <c r="E12" s="8">
        <f>'Análisis a VPN SSPi normal'!M14</f>
        <v>419719.70554062451</v>
      </c>
      <c r="F12" s="8">
        <f>'Análisis a VPN Conv-Línea base'!M14</f>
        <v>107012.04144905737</v>
      </c>
      <c r="H12" s="276">
        <v>6</v>
      </c>
      <c r="I12" s="8">
        <f t="shared" si="3"/>
        <v>-905998.17154980579</v>
      </c>
      <c r="J12" s="8">
        <f t="shared" si="4"/>
        <v>-499895.2443815929</v>
      </c>
      <c r="K12" s="8">
        <f t="shared" si="5"/>
        <v>-225577.0537421451</v>
      </c>
    </row>
    <row r="13" spans="3:11">
      <c r="C13" s="276">
        <v>7</v>
      </c>
      <c r="D13" s="8">
        <f>'Análisis a VPN SSPi sequía'!M15</f>
        <v>330069.08980890759</v>
      </c>
      <c r="E13" s="8">
        <f>'Análisis a VPN SSPi normal'!M15</f>
        <v>374749.73708984326</v>
      </c>
      <c r="F13" s="8">
        <f>'Análisis a VPN Conv-Línea base'!M15</f>
        <v>95546.465579515498</v>
      </c>
      <c r="H13" s="276">
        <v>7</v>
      </c>
      <c r="I13" s="8">
        <f t="shared" si="3"/>
        <v>-575929.0817408982</v>
      </c>
      <c r="J13" s="8">
        <f t="shared" si="4"/>
        <v>-125145.50729174964</v>
      </c>
      <c r="K13" s="8">
        <f t="shared" si="5"/>
        <v>-130030.5881626296</v>
      </c>
    </row>
    <row r="14" spans="3:11">
      <c r="C14" s="276">
        <v>8</v>
      </c>
      <c r="D14" s="8">
        <f>'Análisis a VPN SSPi sequía'!M16</f>
        <v>294704.54447223892</v>
      </c>
      <c r="E14" s="8">
        <f>'Análisis a VPN SSPi normal'!M16</f>
        <v>334597.97954450292</v>
      </c>
      <c r="F14" s="8">
        <f>'Análisis a VPN Conv-Línea base'!M16</f>
        <v>85309.344267424545</v>
      </c>
      <c r="H14" s="276">
        <v>8</v>
      </c>
      <c r="I14" s="8">
        <f t="shared" si="3"/>
        <v>-281224.53726865927</v>
      </c>
      <c r="J14" s="8">
        <f t="shared" si="4"/>
        <v>209452.47225275327</v>
      </c>
      <c r="K14" s="8">
        <f t="shared" si="5"/>
        <v>-44721.243895205058</v>
      </c>
    </row>
    <row r="15" spans="3:11">
      <c r="C15" s="276">
        <v>9</v>
      </c>
      <c r="D15" s="8">
        <f>'Análisis a VPN SSPi sequía'!M17</f>
        <v>263129.05756449897</v>
      </c>
      <c r="E15" s="8">
        <f>'Análisis a VPN SSPi normal'!M17</f>
        <v>298748.19602187752</v>
      </c>
      <c r="F15" s="8">
        <f>'Análisis a VPN Conv-Línea base'!M17</f>
        <v>76169.057381629042</v>
      </c>
      <c r="H15" s="276">
        <v>9</v>
      </c>
      <c r="I15" s="8">
        <f t="shared" si="3"/>
        <v>-18095.479704160301</v>
      </c>
      <c r="J15" s="8">
        <f t="shared" si="4"/>
        <v>508200.66827463079</v>
      </c>
      <c r="K15" s="8">
        <f t="shared" si="5"/>
        <v>31447.813486423984</v>
      </c>
    </row>
    <row r="16" spans="3:11">
      <c r="C16" s="276">
        <v>10</v>
      </c>
      <c r="D16" s="8">
        <f>'Análisis a VPN SSPi sequía'!M18</f>
        <v>234936.6585397312</v>
      </c>
      <c r="E16" s="8">
        <f>'Análisis a VPN SSPi normal'!M18</f>
        <v>266739.46073381923</v>
      </c>
      <c r="F16" s="8">
        <f>'Análisis a VPN Conv-Línea base'!M18</f>
        <v>68008.086947883072</v>
      </c>
      <c r="H16" s="276">
        <v>10</v>
      </c>
      <c r="I16" s="8">
        <f t="shared" si="3"/>
        <v>216841.1788355709</v>
      </c>
      <c r="J16" s="8">
        <f t="shared" si="4"/>
        <v>774940.12900845008</v>
      </c>
      <c r="K16" s="8">
        <f t="shared" si="5"/>
        <v>99455.900434307056</v>
      </c>
    </row>
    <row r="17" spans="3:11">
      <c r="C17" s="276">
        <v>11</v>
      </c>
      <c r="D17" s="8">
        <f>'Análisis a VPN SSPi sequía'!M19</f>
        <v>209764.87369618856</v>
      </c>
      <c r="E17" s="8">
        <f>'Análisis a VPN SSPi normal'!M19</f>
        <v>238160.23279805284</v>
      </c>
      <c r="F17" s="8">
        <f>'Análisis a VPN Conv-Línea base'!M19</f>
        <v>60721.506203467026</v>
      </c>
      <c r="H17" s="276">
        <v>11</v>
      </c>
      <c r="I17" s="8">
        <f t="shared" si="3"/>
        <v>426606.05253175949</v>
      </c>
      <c r="J17" s="8">
        <f t="shared" si="4"/>
        <v>1013100.3618065029</v>
      </c>
      <c r="K17" s="8">
        <f t="shared" si="5"/>
        <v>160177.40663777408</v>
      </c>
    </row>
    <row r="18" spans="3:11">
      <c r="C18" s="276">
        <v>12</v>
      </c>
      <c r="D18" s="8">
        <f>'Análisis a VPN SSPi sequía'!M20</f>
        <v>187290.06580016832</v>
      </c>
      <c r="E18" s="8">
        <f>'Análisis a VPN SSPi normal'!M20</f>
        <v>212643.06499826143</v>
      </c>
      <c r="F18" s="8">
        <f>'Análisis a VPN Conv-Línea base'!M20</f>
        <v>54215.630538809834</v>
      </c>
      <c r="H18" s="276">
        <v>12</v>
      </c>
      <c r="I18" s="8">
        <f t="shared" si="3"/>
        <v>613896.11833192781</v>
      </c>
      <c r="J18" s="8">
        <f t="shared" si="4"/>
        <v>1225743.4268047644</v>
      </c>
      <c r="K18" s="8">
        <f t="shared" si="5"/>
        <v>214393.03717658392</v>
      </c>
    </row>
    <row r="19" spans="3:11">
      <c r="C19" s="276">
        <v>13</v>
      </c>
      <c r="D19" s="8">
        <f>'Análisis a VPN SSPi sequía'!M21</f>
        <v>167223.27303586455</v>
      </c>
      <c r="E19" s="8">
        <f>'Análisis a VPN SSPi normal'!M21</f>
        <v>189859.8794627334</v>
      </c>
      <c r="F19" s="8">
        <f>'Análisis a VPN Conv-Línea base'!M21</f>
        <v>48406.812981080206</v>
      </c>
      <c r="H19" s="276">
        <v>13</v>
      </c>
      <c r="I19" s="8">
        <f t="shared" si="3"/>
        <v>781119.39136779238</v>
      </c>
      <c r="J19" s="8">
        <f t="shared" si="4"/>
        <v>1415603.3062674978</v>
      </c>
      <c r="K19" s="8">
        <f t="shared" si="5"/>
        <v>262799.85015766416</v>
      </c>
    </row>
    <row r="20" spans="3:11">
      <c r="C20" s="276">
        <v>14</v>
      </c>
      <c r="D20" s="8">
        <f>'Análisis a VPN SSPi sequía'!M22</f>
        <v>149306.49378202192</v>
      </c>
      <c r="E20" s="8">
        <f>'Análisis a VPN SSPi normal'!M22</f>
        <v>169517.74952029769</v>
      </c>
      <c r="F20" s="8">
        <f>'Análisis a VPN Conv-Línea base'!M22</f>
        <v>43220.368733107323</v>
      </c>
      <c r="H20" s="276">
        <v>14</v>
      </c>
      <c r="I20" s="8">
        <f t="shared" si="3"/>
        <v>930425.8851498143</v>
      </c>
      <c r="J20" s="8">
        <f t="shared" si="4"/>
        <v>1585121.0557877955</v>
      </c>
      <c r="K20" s="8">
        <f t="shared" si="5"/>
        <v>306020.2188907715</v>
      </c>
    </row>
    <row r="21" spans="3:11">
      <c r="C21" s="276">
        <v>15</v>
      </c>
      <c r="D21" s="8">
        <f>'Análisis a VPN SSPi sequía'!M23</f>
        <v>133309.36944823386</v>
      </c>
      <c r="E21" s="8">
        <f>'Análisis a VPN SSPi normal'!M23</f>
        <v>151355.13350026577</v>
      </c>
      <c r="F21" s="8">
        <f>'Análisis a VPN Conv-Línea base'!M23</f>
        <v>38589.614940274398</v>
      </c>
      <c r="H21" s="276">
        <v>15</v>
      </c>
      <c r="I21" s="8">
        <f t="shared" si="3"/>
        <v>1063735.254598048</v>
      </c>
      <c r="J21" s="8">
        <f t="shared" si="4"/>
        <v>1736476.1892880611</v>
      </c>
      <c r="K21" s="8">
        <f t="shared" si="5"/>
        <v>344609.83383104589</v>
      </c>
    </row>
    <row r="22" spans="3:11">
      <c r="C22" s="276">
        <v>16</v>
      </c>
      <c r="D22" s="8">
        <f>'Análisis a VPN SSPi sequía'!M24</f>
        <v>119026.22272163734</v>
      </c>
      <c r="E22" s="8">
        <f>'Análisis a VPN SSPi normal'!M24</f>
        <v>135138.51205380872</v>
      </c>
      <c r="F22" s="8">
        <f>'Análisis a VPN Conv-Línea base'!M24</f>
        <v>34455.013339530706</v>
      </c>
      <c r="H22" s="276">
        <v>16</v>
      </c>
      <c r="I22" s="8">
        <f t="shared" si="3"/>
        <v>1182761.4773196853</v>
      </c>
      <c r="J22" s="8">
        <f t="shared" si="4"/>
        <v>1871614.7013418698</v>
      </c>
      <c r="K22" s="8">
        <f t="shared" si="5"/>
        <v>379064.84717057657</v>
      </c>
    </row>
    <row r="23" spans="3:11">
      <c r="C23" s="276">
        <v>17</v>
      </c>
      <c r="D23" s="8">
        <f>'Análisis a VPN SSPi sequía'!M25</f>
        <v>106273.41314431906</v>
      </c>
      <c r="E23" s="8">
        <f>'Análisis a VPN SSPi normal'!M25</f>
        <v>120659.3857623292</v>
      </c>
      <c r="F23" s="8">
        <f>'Análisis a VPN Conv-Línea base'!M25</f>
        <v>30763.404767438129</v>
      </c>
      <c r="H23" s="276">
        <v>17</v>
      </c>
      <c r="I23" s="8">
        <f t="shared" si="3"/>
        <v>1289034.8904640044</v>
      </c>
      <c r="J23" s="8">
        <f t="shared" si="4"/>
        <v>1992274.087104199</v>
      </c>
      <c r="K23" s="8">
        <f t="shared" si="5"/>
        <v>409828.2519380147</v>
      </c>
    </row>
    <row r="24" spans="3:11">
      <c r="C24" s="276">
        <v>18</v>
      </c>
      <c r="D24" s="8">
        <f>'Análisis a VPN SSPi sequía'!M26</f>
        <v>94886.976021713446</v>
      </c>
      <c r="E24" s="8">
        <f>'Análisis a VPN SSPi normal'!M26</f>
        <v>107731.59443065106</v>
      </c>
      <c r="F24" s="8">
        <f>'Análisis a VPN Conv-Línea base'!M26</f>
        <v>27467.325685212614</v>
      </c>
      <c r="H24" s="276">
        <v>18</v>
      </c>
      <c r="I24" s="8">
        <f t="shared" si="3"/>
        <v>1383921.8664857177</v>
      </c>
      <c r="J24" s="8">
        <f t="shared" si="4"/>
        <v>2100005.68153485</v>
      </c>
      <c r="K24" s="8">
        <f t="shared" si="5"/>
        <v>437295.57762322732</v>
      </c>
    </row>
    <row r="25" spans="3:11">
      <c r="C25" s="276">
        <v>19</v>
      </c>
      <c r="D25" s="8">
        <f>'Análisis a VPN SSPi sequía'!M27</f>
        <v>84720.514305101271</v>
      </c>
      <c r="E25" s="8">
        <f>'Análisis a VPN SSPi normal'!M27</f>
        <v>96188.923598795576</v>
      </c>
      <c r="F25" s="8">
        <f>'Análisis a VPN Conv-Línea base'!M27</f>
        <v>24524.397933225544</v>
      </c>
      <c r="H25" s="276">
        <v>19</v>
      </c>
      <c r="I25" s="8">
        <f t="shared" si="3"/>
        <v>1468642.3807908189</v>
      </c>
      <c r="J25" s="8">
        <f t="shared" si="4"/>
        <v>2196194.6051336457</v>
      </c>
      <c r="K25" s="8">
        <f t="shared" si="5"/>
        <v>461819.97555645288</v>
      </c>
    </row>
    <row r="26" spans="3:11">
      <c r="C26" s="276">
        <v>20</v>
      </c>
      <c r="D26" s="8">
        <f>'Análisis a VPN SSPi sequía'!M28</f>
        <v>75643.316343840415</v>
      </c>
      <c r="E26" s="8">
        <f>'Análisis a VPN SSPi normal'!M28</f>
        <v>85882.967498924612</v>
      </c>
      <c r="F26" s="8">
        <f>'Análisis a VPN Conv-Línea base'!M28</f>
        <v>21896.783868951377</v>
      </c>
      <c r="H26" s="276">
        <v>20</v>
      </c>
      <c r="I26" s="8">
        <f t="shared" si="3"/>
        <v>1544285.6971346594</v>
      </c>
      <c r="J26" s="8">
        <f t="shared" si="4"/>
        <v>2282077.5726325703</v>
      </c>
      <c r="K26" s="8">
        <f t="shared" si="5"/>
        <v>483716.75942540425</v>
      </c>
    </row>
    <row r="28" spans="3:11">
      <c r="C28" t="s">
        <v>383</v>
      </c>
      <c r="E28">
        <f>'Costo marginal de abatimiento'!D7</f>
        <v>20.107500000000002</v>
      </c>
    </row>
    <row r="30" spans="3:11">
      <c r="C30" s="291" t="s">
        <v>384</v>
      </c>
      <c r="D30" s="291"/>
      <c r="E30" s="291"/>
      <c r="F30" s="291"/>
      <c r="G30" s="291"/>
      <c r="H30" s="291"/>
      <c r="I30" s="291"/>
      <c r="J30" s="291"/>
      <c r="K30" s="291"/>
    </row>
    <row r="31" spans="3:11">
      <c r="I31" s="291" t="s">
        <v>324</v>
      </c>
      <c r="J31" s="291"/>
      <c r="K31" s="291"/>
    </row>
    <row r="32" spans="3:11">
      <c r="C32" s="278" t="s">
        <v>274</v>
      </c>
      <c r="D32" s="278" t="s">
        <v>387</v>
      </c>
      <c r="E32" s="278" t="s">
        <v>388</v>
      </c>
      <c r="F32" s="278" t="s">
        <v>389</v>
      </c>
      <c r="H32" s="278" t="s">
        <v>274</v>
      </c>
      <c r="I32" s="278" t="s">
        <v>387</v>
      </c>
      <c r="J32" s="278" t="s">
        <v>388</v>
      </c>
      <c r="K32" s="278" t="s">
        <v>389</v>
      </c>
    </row>
    <row r="33" spans="2:11">
      <c r="B33">
        <v>1</v>
      </c>
      <c r="C33" s="276"/>
      <c r="D33" s="8">
        <f>'Análisis a VPN SSPi sequía'!K8/'Grafica flujo de efectivo'!$E$28</f>
        <v>-194255.87467362924</v>
      </c>
      <c r="E33" s="8">
        <f>'Análisis a VPN SSPi normal'!K8/'Grafica flujo de efectivo'!$E$28</f>
        <v>-194255.87467362924</v>
      </c>
      <c r="F33" s="8">
        <f>'Análisis a VPN Conv-Línea base'!K8/'Grafica flujo de efectivo'!$E$28</f>
        <v>-54407.559368394875</v>
      </c>
      <c r="H33" s="276">
        <v>0</v>
      </c>
      <c r="I33" s="8">
        <f>D33</f>
        <v>-194255.87467362924</v>
      </c>
      <c r="J33" s="8">
        <f t="shared" ref="J33" si="6">E33</f>
        <v>-194255.87467362924</v>
      </c>
      <c r="K33" s="8">
        <f t="shared" ref="K33" si="7">F33</f>
        <v>-54407.559368394875</v>
      </c>
    </row>
    <row r="34" spans="2:11">
      <c r="B34">
        <v>2</v>
      </c>
      <c r="C34" s="276">
        <v>1</v>
      </c>
      <c r="D34" s="8">
        <f>'Análisis a VPN SSPi sequía'!K9/'Grafica flujo de efectivo'!$E$28</f>
        <v>36288.827551908493</v>
      </c>
      <c r="E34" s="8">
        <f>'Análisis a VPN SSPi normal'!K9/'Grafica flujo de efectivo'!$E$28</f>
        <v>41201.157588702408</v>
      </c>
      <c r="F34" s="8">
        <f>'Análisis a VPN Conv-Línea base'!K9/'Grafica flujo de efectivo'!$E$28</f>
        <v>10504.677110530898</v>
      </c>
      <c r="H34" s="276">
        <v>1</v>
      </c>
      <c r="I34" s="8">
        <f>I33+D34</f>
        <v>-157967.04712172074</v>
      </c>
      <c r="J34" s="8">
        <f>J33+E34</f>
        <v>-153054.71708492684</v>
      </c>
      <c r="K34" s="8">
        <f t="shared" ref="K34:K53" si="8">K33+F34</f>
        <v>-43902.882257863981</v>
      </c>
    </row>
    <row r="35" spans="2:11">
      <c r="B35">
        <v>3</v>
      </c>
      <c r="C35" s="276">
        <v>2</v>
      </c>
      <c r="D35" s="8">
        <f>'Análisis a VPN SSPi sequía'!K10/'Grafica flujo de efectivo'!$E$28</f>
        <v>36288.827551908493</v>
      </c>
      <c r="E35" s="8">
        <f>'Análisis a VPN SSPi normal'!K10/'Grafica flujo de efectivo'!$E$28</f>
        <v>41201.157588702408</v>
      </c>
      <c r="F35" s="8">
        <f>'Análisis a VPN Conv-Línea base'!K10/'Grafica flujo de efectivo'!$E$28</f>
        <v>10504.677110530898</v>
      </c>
      <c r="H35" s="276">
        <v>2</v>
      </c>
      <c r="I35" s="8">
        <f>I34+D35</f>
        <v>-121678.21956981224</v>
      </c>
      <c r="J35" s="8">
        <f>J34+E35</f>
        <v>-111853.55949622444</v>
      </c>
      <c r="K35" s="8">
        <f t="shared" si="8"/>
        <v>-33398.205147333079</v>
      </c>
    </row>
    <row r="36" spans="2:11">
      <c r="B36">
        <v>4</v>
      </c>
      <c r="C36" s="276">
        <v>3</v>
      </c>
      <c r="D36" s="8">
        <f>'Análisis a VPN SSPi sequía'!K11/'Grafica flujo de efectivo'!$E$28</f>
        <v>36288.827551908493</v>
      </c>
      <c r="E36" s="8">
        <f>'Análisis a VPN SSPi normal'!K11/'Grafica flujo de efectivo'!$E$28</f>
        <v>41201.157588702408</v>
      </c>
      <c r="F36" s="8">
        <f>'Análisis a VPN Conv-Línea base'!K11/'Grafica flujo de efectivo'!$E$28</f>
        <v>10504.677110530898</v>
      </c>
      <c r="H36" s="276">
        <v>3</v>
      </c>
      <c r="I36" s="8">
        <f t="shared" ref="I36:I53" si="9">I35+D36</f>
        <v>-85389.392017903738</v>
      </c>
      <c r="J36" s="8">
        <f t="shared" ref="J36:J53" si="10">J35+E36</f>
        <v>-70652.401907522028</v>
      </c>
      <c r="K36" s="8">
        <f t="shared" si="8"/>
        <v>-22893.528036802181</v>
      </c>
    </row>
    <row r="37" spans="2:11">
      <c r="B37">
        <v>5</v>
      </c>
      <c r="C37" s="276">
        <v>4</v>
      </c>
      <c r="D37" s="8">
        <f>'Análisis a VPN SSPi sequía'!K12/'Grafica flujo de efectivo'!$E$28</f>
        <v>36288.827551908493</v>
      </c>
      <c r="E37" s="8">
        <f>'Análisis a VPN SSPi normal'!K12/'Grafica flujo de efectivo'!$E$28</f>
        <v>41201.157588702408</v>
      </c>
      <c r="F37" s="8">
        <f>'Análisis a VPN Conv-Línea base'!K12/'Grafica flujo de efectivo'!$E$28</f>
        <v>10504.677110530898</v>
      </c>
      <c r="H37" s="276">
        <v>4</v>
      </c>
      <c r="I37" s="8">
        <f t="shared" si="9"/>
        <v>-49100.564465995245</v>
      </c>
      <c r="J37" s="8">
        <f t="shared" si="10"/>
        <v>-29451.244318819619</v>
      </c>
      <c r="K37" s="8">
        <f t="shared" si="8"/>
        <v>-12388.850926271283</v>
      </c>
    </row>
    <row r="38" spans="2:11">
      <c r="B38">
        <v>6</v>
      </c>
      <c r="C38" s="276">
        <v>5</v>
      </c>
      <c r="D38" s="8">
        <f>'Análisis a VPN SSPi sequía'!K13/'Grafica flujo de efectivo'!$E$28</f>
        <v>36288.827551908493</v>
      </c>
      <c r="E38" s="8">
        <f>'Análisis a VPN SSPi normal'!K13/'Grafica flujo de efectivo'!$E$28</f>
        <v>41201.157588702408</v>
      </c>
      <c r="F38" s="8">
        <f>'Análisis a VPN Conv-Línea base'!K13/'Grafica flujo de efectivo'!$E$28</f>
        <v>10504.677110530898</v>
      </c>
      <c r="H38" s="276">
        <v>5</v>
      </c>
      <c r="I38" s="8">
        <f t="shared" si="9"/>
        <v>-12811.736914086752</v>
      </c>
      <c r="J38" s="8">
        <f t="shared" si="10"/>
        <v>11749.913269882789</v>
      </c>
      <c r="K38" s="8">
        <f t="shared" si="8"/>
        <v>-1884.1738157403852</v>
      </c>
    </row>
    <row r="39" spans="2:11">
      <c r="B39">
        <v>7</v>
      </c>
      <c r="C39" s="276">
        <v>6</v>
      </c>
      <c r="D39" s="8">
        <f>'Análisis a VPN SSPi sequía'!K14/'Grafica flujo de efectivo'!$E$28</f>
        <v>36288.827551908493</v>
      </c>
      <c r="E39" s="8">
        <f>'Análisis a VPN SSPi normal'!K14/'Grafica flujo de efectivo'!$E$28</f>
        <v>41201.157588702408</v>
      </c>
      <c r="F39" s="8">
        <f>'Análisis a VPN Conv-Línea base'!K14/'Grafica flujo de efectivo'!$E$28</f>
        <v>10504.677110530898</v>
      </c>
      <c r="H39" s="276">
        <v>6</v>
      </c>
      <c r="I39" s="8">
        <f t="shared" si="9"/>
        <v>23477.090637821741</v>
      </c>
      <c r="J39" s="8">
        <f t="shared" si="10"/>
        <v>52951.070858585197</v>
      </c>
      <c r="K39" s="8">
        <f t="shared" si="8"/>
        <v>8620.5032947905129</v>
      </c>
    </row>
    <row r="40" spans="2:11">
      <c r="B40">
        <v>8</v>
      </c>
      <c r="C40" s="276">
        <v>7</v>
      </c>
      <c r="D40" s="8">
        <f>'Análisis a VPN SSPi sequía'!K15/'Grafica flujo de efectivo'!$E$28</f>
        <v>36288.827551908493</v>
      </c>
      <c r="E40" s="8">
        <f>'Análisis a VPN SSPi normal'!K15/'Grafica flujo de efectivo'!$E$28</f>
        <v>41201.157588702408</v>
      </c>
      <c r="F40" s="8">
        <f>'Análisis a VPN Conv-Línea base'!K15/'Grafica flujo de efectivo'!$E$28</f>
        <v>10504.677110530898</v>
      </c>
      <c r="H40" s="276">
        <v>7</v>
      </c>
      <c r="I40" s="8">
        <f t="shared" si="9"/>
        <v>59765.918189730233</v>
      </c>
      <c r="J40" s="8">
        <f t="shared" si="10"/>
        <v>94152.228447287605</v>
      </c>
      <c r="K40" s="8">
        <f t="shared" si="8"/>
        <v>19125.180405321411</v>
      </c>
    </row>
    <row r="41" spans="2:11">
      <c r="B41">
        <v>9</v>
      </c>
      <c r="C41" s="276">
        <v>8</v>
      </c>
      <c r="D41" s="8">
        <f>'Análisis a VPN SSPi sequía'!K16/'Grafica flujo de efectivo'!$E$28</f>
        <v>36288.827551908493</v>
      </c>
      <c r="E41" s="8">
        <f>'Análisis a VPN SSPi normal'!K16/'Grafica flujo de efectivo'!$E$28</f>
        <v>41201.157588702408</v>
      </c>
      <c r="F41" s="8">
        <f>'Análisis a VPN Conv-Línea base'!K16/'Grafica flujo de efectivo'!$E$28</f>
        <v>10504.677110530898</v>
      </c>
      <c r="H41" s="276">
        <v>8</v>
      </c>
      <c r="I41" s="8">
        <f t="shared" si="9"/>
        <v>96054.745741638733</v>
      </c>
      <c r="J41" s="8">
        <f t="shared" si="10"/>
        <v>135353.38603599003</v>
      </c>
      <c r="K41" s="8">
        <f t="shared" si="8"/>
        <v>29629.857515852309</v>
      </c>
    </row>
    <row r="42" spans="2:11">
      <c r="B42">
        <v>10</v>
      </c>
      <c r="C42" s="276">
        <v>9</v>
      </c>
      <c r="D42" s="8">
        <f>'Análisis a VPN SSPi sequía'!K17/'Grafica flujo de efectivo'!$E$28</f>
        <v>36288.827551908493</v>
      </c>
      <c r="E42" s="8">
        <f>'Análisis a VPN SSPi normal'!K17/'Grafica flujo de efectivo'!$E$28</f>
        <v>41201.157588702408</v>
      </c>
      <c r="F42" s="8">
        <f>'Análisis a VPN Conv-Línea base'!K17/'Grafica flujo de efectivo'!$E$28</f>
        <v>10504.677110530898</v>
      </c>
      <c r="H42" s="276">
        <v>9</v>
      </c>
      <c r="I42" s="8">
        <f t="shared" si="9"/>
        <v>132343.57329354723</v>
      </c>
      <c r="J42" s="8">
        <f t="shared" si="10"/>
        <v>176554.54362469242</v>
      </c>
      <c r="K42" s="8">
        <f t="shared" si="8"/>
        <v>40134.534626383203</v>
      </c>
    </row>
    <row r="43" spans="2:11">
      <c r="B43">
        <v>11</v>
      </c>
      <c r="C43" s="276">
        <v>10</v>
      </c>
      <c r="D43" s="8">
        <f>'Análisis a VPN SSPi sequía'!K18/'Grafica flujo de efectivo'!$E$28</f>
        <v>36288.827551908493</v>
      </c>
      <c r="E43" s="8">
        <f>'Análisis a VPN SSPi normal'!K18/'Grafica flujo de efectivo'!$E$28</f>
        <v>41201.157588702408</v>
      </c>
      <c r="F43" s="8">
        <f>'Análisis a VPN Conv-Línea base'!K18/'Grafica flujo de efectivo'!$E$28</f>
        <v>10504.677110530898</v>
      </c>
      <c r="H43" s="276">
        <v>10</v>
      </c>
      <c r="I43" s="8">
        <f t="shared" si="9"/>
        <v>168632.40084545573</v>
      </c>
      <c r="J43" s="8">
        <f t="shared" si="10"/>
        <v>217755.70121339482</v>
      </c>
      <c r="K43" s="8">
        <f t="shared" si="8"/>
        <v>50639.211736914105</v>
      </c>
    </row>
    <row r="44" spans="2:11">
      <c r="B44">
        <v>12</v>
      </c>
      <c r="C44" s="276">
        <v>11</v>
      </c>
      <c r="D44" s="8">
        <f>'Análisis a VPN SSPi sequía'!K19/'Grafica flujo de efectivo'!$E$28</f>
        <v>36288.827551908493</v>
      </c>
      <c r="E44" s="8">
        <f>'Análisis a VPN SSPi normal'!K19/'Grafica flujo de efectivo'!$E$28</f>
        <v>41201.157588702408</v>
      </c>
      <c r="F44" s="8">
        <f>'Análisis a VPN Conv-Línea base'!K19/'Grafica flujo de efectivo'!$E$28</f>
        <v>10504.677110530898</v>
      </c>
      <c r="H44" s="276">
        <v>11</v>
      </c>
      <c r="I44" s="8">
        <f t="shared" si="9"/>
        <v>204921.22839736423</v>
      </c>
      <c r="J44" s="8">
        <f t="shared" si="10"/>
        <v>258956.85880209721</v>
      </c>
      <c r="K44" s="8">
        <f t="shared" si="8"/>
        <v>61143.888847445007</v>
      </c>
    </row>
    <row r="45" spans="2:11">
      <c r="B45">
        <v>13</v>
      </c>
      <c r="C45" s="276">
        <v>12</v>
      </c>
      <c r="D45" s="8">
        <f>'Análisis a VPN SSPi sequía'!K20/'Grafica flujo de efectivo'!$E$28</f>
        <v>36288.827551908493</v>
      </c>
      <c r="E45" s="8">
        <f>'Análisis a VPN SSPi normal'!K20/'Grafica flujo de efectivo'!$E$28</f>
        <v>41201.157588702408</v>
      </c>
      <c r="F45" s="8">
        <f>'Análisis a VPN Conv-Línea base'!K20/'Grafica flujo de efectivo'!$E$28</f>
        <v>10504.677110530898</v>
      </c>
      <c r="H45" s="276">
        <v>12</v>
      </c>
      <c r="I45" s="8">
        <f t="shared" si="9"/>
        <v>241210.05594927273</v>
      </c>
      <c r="J45" s="8">
        <f t="shared" si="10"/>
        <v>300158.0163907996</v>
      </c>
      <c r="K45" s="8">
        <f t="shared" si="8"/>
        <v>71648.565957975909</v>
      </c>
    </row>
    <row r="46" spans="2:11">
      <c r="B46">
        <v>14</v>
      </c>
      <c r="C46" s="276">
        <v>13</v>
      </c>
      <c r="D46" s="8">
        <f>'Análisis a VPN SSPi sequía'!K21/'Grafica flujo de efectivo'!$E$28</f>
        <v>36288.827551908493</v>
      </c>
      <c r="E46" s="8">
        <f>'Análisis a VPN SSPi normal'!K21/'Grafica flujo de efectivo'!$E$28</f>
        <v>41201.157588702408</v>
      </c>
      <c r="F46" s="8">
        <f>'Análisis a VPN Conv-Línea base'!K21/'Grafica flujo de efectivo'!$E$28</f>
        <v>10504.677110530898</v>
      </c>
      <c r="H46" s="276">
        <v>13</v>
      </c>
      <c r="I46" s="8">
        <f t="shared" si="9"/>
        <v>277498.8835011812</v>
      </c>
      <c r="J46" s="8">
        <f t="shared" si="10"/>
        <v>341359.173979502</v>
      </c>
      <c r="K46" s="8">
        <f t="shared" si="8"/>
        <v>82153.24306850681</v>
      </c>
    </row>
    <row r="47" spans="2:11">
      <c r="B47">
        <v>15</v>
      </c>
      <c r="C47" s="276">
        <v>14</v>
      </c>
      <c r="D47" s="8">
        <f>'Análisis a VPN SSPi sequía'!K22/'Grafica flujo de efectivo'!$E$28</f>
        <v>36288.827551908493</v>
      </c>
      <c r="E47" s="8">
        <f>'Análisis a VPN SSPi normal'!K22/'Grafica flujo de efectivo'!$E$28</f>
        <v>41201.157588702408</v>
      </c>
      <c r="F47" s="8">
        <f>'Análisis a VPN Conv-Línea base'!K22/'Grafica flujo de efectivo'!$E$28</f>
        <v>10504.677110530898</v>
      </c>
      <c r="H47" s="276">
        <v>14</v>
      </c>
      <c r="I47" s="8">
        <f t="shared" si="9"/>
        <v>313787.7110530897</v>
      </c>
      <c r="J47" s="8">
        <f t="shared" si="10"/>
        <v>382560.33156820439</v>
      </c>
      <c r="K47" s="8">
        <f t="shared" si="8"/>
        <v>92657.920179037712</v>
      </c>
    </row>
    <row r="48" spans="2:11">
      <c r="B48">
        <v>16</v>
      </c>
      <c r="C48" s="276">
        <v>15</v>
      </c>
      <c r="D48" s="8">
        <f>'Análisis a VPN SSPi sequía'!K23/'Grafica flujo de efectivo'!$E$28</f>
        <v>36288.827551908493</v>
      </c>
      <c r="E48" s="8">
        <f>'Análisis a VPN SSPi normal'!K23/'Grafica flujo de efectivo'!$E$28</f>
        <v>41201.157588702408</v>
      </c>
      <c r="F48" s="8">
        <f>'Análisis a VPN Conv-Línea base'!K23/'Grafica flujo de efectivo'!$E$28</f>
        <v>10504.677110530898</v>
      </c>
      <c r="H48" s="276">
        <v>15</v>
      </c>
      <c r="I48" s="8">
        <f t="shared" si="9"/>
        <v>350076.5386049982</v>
      </c>
      <c r="J48" s="8">
        <f t="shared" si="10"/>
        <v>423761.48915690678</v>
      </c>
      <c r="K48" s="8">
        <f t="shared" si="8"/>
        <v>103162.59728956861</v>
      </c>
    </row>
    <row r="49" spans="2:29">
      <c r="B49">
        <v>17</v>
      </c>
      <c r="C49" s="276">
        <v>16</v>
      </c>
      <c r="D49" s="8">
        <f>'Análisis a VPN SSPi sequía'!K24/'Grafica flujo de efectivo'!$E$28</f>
        <v>36288.827551908493</v>
      </c>
      <c r="E49" s="8">
        <f>'Análisis a VPN SSPi normal'!K24/'Grafica flujo de efectivo'!$E$28</f>
        <v>41201.157588702408</v>
      </c>
      <c r="F49" s="8">
        <f>'Análisis a VPN Conv-Línea base'!K24/'Grafica flujo de efectivo'!$E$28</f>
        <v>10504.677110530898</v>
      </c>
      <c r="H49" s="276">
        <v>16</v>
      </c>
      <c r="I49" s="8">
        <f t="shared" si="9"/>
        <v>386365.3661569067</v>
      </c>
      <c r="J49" s="8">
        <f t="shared" si="10"/>
        <v>464962.64674560918</v>
      </c>
      <c r="K49" s="8">
        <f t="shared" si="8"/>
        <v>113667.27440009952</v>
      </c>
    </row>
    <row r="50" spans="2:29">
      <c r="B50">
        <v>18</v>
      </c>
      <c r="C50" s="276">
        <v>17</v>
      </c>
      <c r="D50" s="8">
        <f>'Análisis a VPN SSPi sequía'!K25/'Grafica flujo de efectivo'!$E$28</f>
        <v>36288.827551908493</v>
      </c>
      <c r="E50" s="8">
        <f>'Análisis a VPN SSPi normal'!K25/'Grafica flujo de efectivo'!$E$28</f>
        <v>41201.157588702408</v>
      </c>
      <c r="F50" s="8">
        <f>'Análisis a VPN Conv-Línea base'!K25/'Grafica flujo de efectivo'!$E$28</f>
        <v>10504.677110530898</v>
      </c>
      <c r="H50" s="276">
        <v>17</v>
      </c>
      <c r="I50" s="8">
        <f t="shared" si="9"/>
        <v>422654.1937088152</v>
      </c>
      <c r="J50" s="8">
        <f t="shared" si="10"/>
        <v>506163.80433431157</v>
      </c>
      <c r="K50" s="8">
        <f t="shared" si="8"/>
        <v>124171.95151063042</v>
      </c>
    </row>
    <row r="51" spans="2:29">
      <c r="B51">
        <v>19</v>
      </c>
      <c r="C51" s="276">
        <v>18</v>
      </c>
      <c r="D51" s="8">
        <f>'Análisis a VPN SSPi sequía'!K26/'Grafica flujo de efectivo'!$E$28</f>
        <v>36288.827551908493</v>
      </c>
      <c r="E51" s="8">
        <f>'Análisis a VPN SSPi normal'!K26/'Grafica flujo de efectivo'!$E$28</f>
        <v>41201.157588702408</v>
      </c>
      <c r="F51" s="8">
        <f>'Análisis a VPN Conv-Línea base'!K26/'Grafica flujo de efectivo'!$E$28</f>
        <v>10504.677110530898</v>
      </c>
      <c r="H51" s="276">
        <v>18</v>
      </c>
      <c r="I51" s="8">
        <f t="shared" si="9"/>
        <v>458943.0212607237</v>
      </c>
      <c r="J51" s="8">
        <f t="shared" si="10"/>
        <v>547364.96192301402</v>
      </c>
      <c r="K51" s="8">
        <f t="shared" si="8"/>
        <v>134676.6286211613</v>
      </c>
    </row>
    <row r="52" spans="2:29">
      <c r="B52">
        <v>20</v>
      </c>
      <c r="C52" s="276">
        <v>19</v>
      </c>
      <c r="D52" s="8">
        <f>'Análisis a VPN SSPi sequía'!K27/'Grafica flujo de efectivo'!$E$28</f>
        <v>36288.827551908493</v>
      </c>
      <c r="E52" s="8">
        <f>'Análisis a VPN SSPi normal'!K27/'Grafica flujo de efectivo'!$E$28</f>
        <v>41201.157588702408</v>
      </c>
      <c r="F52" s="8">
        <f>'Análisis a VPN Conv-Línea base'!K27/'Grafica flujo de efectivo'!$E$28</f>
        <v>10504.677110530898</v>
      </c>
      <c r="H52" s="276">
        <v>19</v>
      </c>
      <c r="I52" s="8">
        <f t="shared" si="9"/>
        <v>495231.8488126322</v>
      </c>
      <c r="J52" s="8">
        <f t="shared" si="10"/>
        <v>588566.11951171642</v>
      </c>
      <c r="K52" s="8">
        <f t="shared" si="8"/>
        <v>145181.30573169221</v>
      </c>
    </row>
    <row r="53" spans="2:29">
      <c r="B53">
        <v>21</v>
      </c>
      <c r="C53" s="276">
        <v>20</v>
      </c>
      <c r="D53" s="8">
        <f>'Análisis a VPN SSPi sequía'!K28/'Grafica flujo de efectivo'!$E$28</f>
        <v>36288.827551908493</v>
      </c>
      <c r="E53" s="8">
        <f>'Análisis a VPN SSPi normal'!K28/'Grafica flujo de efectivo'!$E$28</f>
        <v>41201.157588702408</v>
      </c>
      <c r="F53" s="8">
        <f>'Análisis a VPN Conv-Línea base'!K28/'Grafica flujo de efectivo'!$E$28</f>
        <v>10504.677110530898</v>
      </c>
      <c r="H53" s="276">
        <v>20</v>
      </c>
      <c r="I53" s="8">
        <f t="shared" si="9"/>
        <v>531520.6763645407</v>
      </c>
      <c r="J53" s="8">
        <f t="shared" si="10"/>
        <v>629767.27710041881</v>
      </c>
      <c r="K53" s="8">
        <f t="shared" si="8"/>
        <v>155685.98284222311</v>
      </c>
    </row>
    <row r="59" spans="2:29">
      <c r="AC59" t="s">
        <v>386</v>
      </c>
    </row>
  </sheetData>
  <mergeCells count="4">
    <mergeCell ref="I4:K4"/>
    <mergeCell ref="C3:K3"/>
    <mergeCell ref="C30:K30"/>
    <mergeCell ref="I31:K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980F-317B-4A39-90FF-782466E2E226}">
  <dimension ref="A1:V68"/>
  <sheetViews>
    <sheetView tabSelected="1" topLeftCell="A37" workbookViewId="0">
      <selection activeCell="E61" sqref="E61:E62"/>
    </sheetView>
  </sheetViews>
  <sheetFormatPr baseColWidth="10" defaultRowHeight="15"/>
  <cols>
    <col min="3" max="3" width="35" bestFit="1" customWidth="1"/>
    <col min="4" max="4" width="21.5703125" customWidth="1"/>
    <col min="5" max="5" width="14.140625" customWidth="1"/>
    <col min="6" max="7" width="14.140625" bestFit="1" customWidth="1"/>
    <col min="10" max="10" width="13.140625" bestFit="1" customWidth="1"/>
  </cols>
  <sheetData>
    <row r="1" spans="1:10" ht="18.75">
      <c r="A1" s="241" t="s">
        <v>280</v>
      </c>
    </row>
    <row r="2" spans="1:10">
      <c r="E2" s="9"/>
    </row>
    <row r="3" spans="1:10">
      <c r="C3" t="s">
        <v>306</v>
      </c>
      <c r="D3" s="264" t="s">
        <v>297</v>
      </c>
    </row>
    <row r="4" spans="1:10">
      <c r="C4" t="s">
        <v>307</v>
      </c>
      <c r="D4" t="s">
        <v>298</v>
      </c>
      <c r="F4" s="20"/>
      <c r="G4" s="20"/>
      <c r="H4" s="20"/>
      <c r="I4" s="263"/>
      <c r="J4" s="20"/>
    </row>
    <row r="5" spans="1:10">
      <c r="F5" s="20"/>
      <c r="G5" s="21"/>
      <c r="H5" s="20"/>
      <c r="I5" s="20"/>
      <c r="J5" s="20"/>
    </row>
    <row r="6" spans="1:10">
      <c r="C6" t="s">
        <v>282</v>
      </c>
    </row>
    <row r="7" spans="1:10">
      <c r="C7" t="s">
        <v>310</v>
      </c>
      <c r="D7" s="242">
        <v>20.107500000000002</v>
      </c>
      <c r="E7" t="s">
        <v>221</v>
      </c>
      <c r="F7" s="20"/>
      <c r="G7" s="22"/>
      <c r="H7" s="20"/>
      <c r="I7" s="23"/>
      <c r="J7" s="20"/>
    </row>
    <row r="8" spans="1:10">
      <c r="D8" s="20"/>
      <c r="E8" s="22"/>
      <c r="F8" s="20"/>
      <c r="G8" s="20"/>
      <c r="H8" s="20"/>
      <c r="I8" s="22"/>
      <c r="J8" s="20"/>
    </row>
    <row r="9" spans="1:10">
      <c r="D9" s="20"/>
      <c r="E9" s="262"/>
      <c r="F9" s="20"/>
      <c r="G9" s="20"/>
      <c r="H9" s="20"/>
      <c r="I9" s="20"/>
      <c r="J9" s="20"/>
    </row>
    <row r="10" spans="1:10">
      <c r="D10" s="20"/>
      <c r="E10" s="22"/>
      <c r="F10" s="20"/>
      <c r="G10" s="20"/>
      <c r="H10" s="20"/>
      <c r="I10" s="20"/>
      <c r="J10" s="20"/>
    </row>
    <row r="12" spans="1:10" ht="15.75">
      <c r="C12" s="243" t="s">
        <v>326</v>
      </c>
    </row>
    <row r="13" spans="1:10">
      <c r="G13" t="s">
        <v>283</v>
      </c>
    </row>
    <row r="14" spans="1:10" ht="21.75" customHeight="1">
      <c r="C14" s="244" t="s">
        <v>284</v>
      </c>
      <c r="D14" s="245" t="s">
        <v>163</v>
      </c>
      <c r="E14" s="246" t="s">
        <v>285</v>
      </c>
      <c r="F14" s="247" t="s">
        <v>281</v>
      </c>
      <c r="G14" s="248">
        <f>-'Análisis a VPN SSPi normal'!M29/D7</f>
        <v>-113493.84919222032</v>
      </c>
      <c r="H14" s="265" t="s">
        <v>308</v>
      </c>
      <c r="I14" s="249"/>
    </row>
    <row r="15" spans="1:10" ht="21.75" customHeight="1">
      <c r="C15" s="244" t="s">
        <v>286</v>
      </c>
      <c r="D15" s="245" t="s">
        <v>287</v>
      </c>
      <c r="E15" s="246" t="s">
        <v>288</v>
      </c>
      <c r="F15" s="247" t="s">
        <v>281</v>
      </c>
      <c r="G15" s="248">
        <f>-'Análisis a VPN Conv-Línea base'!M29/D7</f>
        <v>-24056.53410048013</v>
      </c>
      <c r="H15" s="266" t="s">
        <v>309</v>
      </c>
      <c r="I15" s="249"/>
    </row>
    <row r="16" spans="1:10" ht="21.75" customHeight="1">
      <c r="C16" s="244" t="s">
        <v>289</v>
      </c>
      <c r="D16" s="245" t="s">
        <v>163</v>
      </c>
      <c r="E16" s="246" t="s">
        <v>290</v>
      </c>
      <c r="F16" s="247" t="s">
        <v>218</v>
      </c>
      <c r="G16" s="281">
        <f>'CIPAV Areas y Emisiones'!L13/1000</f>
        <v>-44.884627519093442</v>
      </c>
      <c r="I16" s="250"/>
    </row>
    <row r="17" spans="3:9" ht="21.75" customHeight="1">
      <c r="C17" s="244" t="s">
        <v>291</v>
      </c>
      <c r="D17" s="245" t="s">
        <v>287</v>
      </c>
      <c r="E17" s="246" t="s">
        <v>292</v>
      </c>
      <c r="F17" s="247" t="s">
        <v>218</v>
      </c>
      <c r="G17" s="281">
        <f>'CIPAV Areas y Emisiones'!J13/1000</f>
        <v>65.555330771879838</v>
      </c>
      <c r="I17" s="250"/>
    </row>
    <row r="18" spans="3:9" ht="21.75" customHeight="1">
      <c r="C18" s="251" t="s">
        <v>293</v>
      </c>
      <c r="D18" s="252" t="s">
        <v>294</v>
      </c>
      <c r="E18" s="253" t="s">
        <v>295</v>
      </c>
      <c r="F18" s="254" t="s">
        <v>296</v>
      </c>
      <c r="G18" s="255">
        <f>(G14-G15)/(G17-G16)</f>
        <v>-809.82749790707123</v>
      </c>
      <c r="I18" s="249"/>
    </row>
    <row r="20" spans="3:9">
      <c r="C20" s="256" t="s">
        <v>297</v>
      </c>
    </row>
    <row r="21" spans="3:9">
      <c r="C21" s="256" t="s">
        <v>298</v>
      </c>
      <c r="G21" s="8">
        <f>G15-G14</f>
        <v>89437.315091740194</v>
      </c>
    </row>
    <row r="22" spans="3:9">
      <c r="G22" s="9">
        <f>G17-G16</f>
        <v>110.43995829097328</v>
      </c>
    </row>
    <row r="23" spans="3:9">
      <c r="G23">
        <f>G21/G22</f>
        <v>809.82749790707123</v>
      </c>
    </row>
    <row r="28" spans="3:9" ht="15.75">
      <c r="C28" s="243" t="s">
        <v>325</v>
      </c>
    </row>
    <row r="29" spans="3:9">
      <c r="G29" t="s">
        <v>283</v>
      </c>
    </row>
    <row r="30" spans="3:9" ht="16.5">
      <c r="C30" s="244" t="s">
        <v>284</v>
      </c>
      <c r="D30" s="245" t="s">
        <v>163</v>
      </c>
      <c r="E30" s="246" t="s">
        <v>285</v>
      </c>
      <c r="F30" s="247" t="s">
        <v>281</v>
      </c>
      <c r="G30" s="248">
        <f>-'Análisis a VPN SSPi sequía'!M29/D7</f>
        <v>-76801.476918297121</v>
      </c>
      <c r="H30" s="265" t="s">
        <v>308</v>
      </c>
    </row>
    <row r="31" spans="3:9" ht="16.5">
      <c r="C31" s="244" t="s">
        <v>286</v>
      </c>
      <c r="D31" s="245" t="s">
        <v>287</v>
      </c>
      <c r="E31" s="246" t="s">
        <v>288</v>
      </c>
      <c r="F31" s="247" t="s">
        <v>281</v>
      </c>
      <c r="G31" s="248">
        <f>-'Análisis a VPN Conv-Línea base'!M29/D7</f>
        <v>-24056.53410048013</v>
      </c>
      <c r="H31" s="266" t="s">
        <v>309</v>
      </c>
    </row>
    <row r="32" spans="3:9" ht="18">
      <c r="C32" s="244" t="s">
        <v>289</v>
      </c>
      <c r="D32" s="245" t="s">
        <v>163</v>
      </c>
      <c r="E32" s="246" t="s">
        <v>290</v>
      </c>
      <c r="F32" s="247" t="s">
        <v>218</v>
      </c>
      <c r="G32" s="281">
        <f>'CIPAV Areas y Emisiones'!L13/1000</f>
        <v>-44.884627519093442</v>
      </c>
    </row>
    <row r="33" spans="3:22" ht="18">
      <c r="C33" s="244" t="s">
        <v>291</v>
      </c>
      <c r="D33" s="245" t="s">
        <v>287</v>
      </c>
      <c r="E33" s="246" t="s">
        <v>292</v>
      </c>
      <c r="F33" s="247" t="s">
        <v>218</v>
      </c>
      <c r="G33" s="281">
        <f>'CIPAV Areas y Emisiones'!J13/1000</f>
        <v>65.555330771879838</v>
      </c>
    </row>
    <row r="34" spans="3:22" ht="18">
      <c r="C34" s="251" t="s">
        <v>293</v>
      </c>
      <c r="D34" s="252" t="s">
        <v>294</v>
      </c>
      <c r="E34" s="253" t="s">
        <v>295</v>
      </c>
      <c r="F34" s="254" t="s">
        <v>296</v>
      </c>
      <c r="G34" s="255">
        <f>(G30-G31)/(G33-G32)</f>
        <v>-477.58930403478843</v>
      </c>
    </row>
    <row r="36" spans="3:22">
      <c r="C36" s="256" t="s">
        <v>297</v>
      </c>
    </row>
    <row r="37" spans="3:22">
      <c r="C37" s="256" t="s">
        <v>298</v>
      </c>
      <c r="G37" s="8">
        <f>G31-G30</f>
        <v>52744.942817816991</v>
      </c>
    </row>
    <row r="38" spans="3:22">
      <c r="G38" s="9">
        <f>G33-G32</f>
        <v>110.43995829097328</v>
      </c>
    </row>
    <row r="39" spans="3:22">
      <c r="G39">
        <f>G37/G38</f>
        <v>477.58930403478843</v>
      </c>
    </row>
    <row r="43" spans="3:22" ht="15.75" thickBot="1"/>
    <row r="44" spans="3:22">
      <c r="L44" s="257"/>
      <c r="M44" s="176"/>
      <c r="N44" s="176"/>
      <c r="O44" s="176"/>
      <c r="P44" s="176"/>
      <c r="Q44" s="176"/>
      <c r="R44" s="176"/>
      <c r="S44" s="176"/>
      <c r="T44" s="176"/>
      <c r="U44" s="176"/>
      <c r="V44" s="177"/>
    </row>
    <row r="45" spans="3:22">
      <c r="L45" s="258"/>
      <c r="V45" s="162"/>
    </row>
    <row r="46" spans="3:22">
      <c r="L46" s="258"/>
      <c r="V46" s="162"/>
    </row>
    <row r="47" spans="3:22">
      <c r="L47" s="258"/>
      <c r="V47" s="162"/>
    </row>
    <row r="48" spans="3:22">
      <c r="L48" s="258"/>
      <c r="V48" s="162"/>
    </row>
    <row r="49" spans="3:22">
      <c r="L49" s="258"/>
      <c r="V49" s="162"/>
    </row>
    <row r="50" spans="3:22">
      <c r="L50" s="258"/>
      <c r="V50" s="162"/>
    </row>
    <row r="51" spans="3:22">
      <c r="L51" s="258"/>
      <c r="V51" s="162"/>
    </row>
    <row r="52" spans="3:22">
      <c r="L52" s="258"/>
      <c r="V52" s="162"/>
    </row>
    <row r="53" spans="3:22">
      <c r="L53" s="258"/>
      <c r="V53" s="162"/>
    </row>
    <row r="54" spans="3:22">
      <c r="L54" s="259" t="s">
        <v>299</v>
      </c>
      <c r="V54" s="162"/>
    </row>
    <row r="55" spans="3:22">
      <c r="L55" s="258" t="s">
        <v>300</v>
      </c>
      <c r="V55" s="162"/>
    </row>
    <row r="56" spans="3:22">
      <c r="L56" s="258" t="s">
        <v>301</v>
      </c>
      <c r="V56" s="162"/>
    </row>
    <row r="57" spans="3:22">
      <c r="L57" s="258" t="s">
        <v>302</v>
      </c>
      <c r="V57" s="162"/>
    </row>
    <row r="58" spans="3:22" ht="15.75" thickBot="1">
      <c r="L58" s="260"/>
      <c r="M58" s="163"/>
      <c r="N58" s="163"/>
      <c r="O58" s="163"/>
      <c r="P58" s="163"/>
      <c r="Q58" s="163"/>
      <c r="R58" s="163"/>
      <c r="S58" s="163"/>
      <c r="T58" s="163"/>
      <c r="U58" s="163"/>
      <c r="V58" s="178"/>
    </row>
    <row r="60" spans="3:22">
      <c r="C60" t="s">
        <v>156</v>
      </c>
      <c r="D60" t="s">
        <v>155</v>
      </c>
      <c r="E60" t="s">
        <v>390</v>
      </c>
      <c r="F60" t="s">
        <v>391</v>
      </c>
    </row>
    <row r="61" spans="3:22">
      <c r="C61" s="244" t="s">
        <v>284</v>
      </c>
      <c r="D61" s="247" t="s">
        <v>281</v>
      </c>
      <c r="E61" s="8">
        <f>G14</f>
        <v>-113493.84919222032</v>
      </c>
      <c r="F61" s="8">
        <f>G30</f>
        <v>-76801.476918297121</v>
      </c>
    </row>
    <row r="62" spans="3:22">
      <c r="C62" s="244" t="s">
        <v>286</v>
      </c>
      <c r="D62" s="247" t="s">
        <v>281</v>
      </c>
      <c r="E62" s="8">
        <f t="shared" ref="E62:E65" si="0">G15</f>
        <v>-24056.53410048013</v>
      </c>
      <c r="F62" s="8">
        <f t="shared" ref="F62:F65" si="1">G31</f>
        <v>-24056.53410048013</v>
      </c>
    </row>
    <row r="63" spans="3:22" ht="18">
      <c r="C63" s="244" t="s">
        <v>289</v>
      </c>
      <c r="D63" s="247" t="s">
        <v>218</v>
      </c>
      <c r="E63" s="8">
        <f t="shared" si="0"/>
        <v>-44.884627519093442</v>
      </c>
      <c r="F63" s="8">
        <f t="shared" si="1"/>
        <v>-44.884627519093442</v>
      </c>
    </row>
    <row r="64" spans="3:22" ht="18">
      <c r="C64" s="244" t="s">
        <v>291</v>
      </c>
      <c r="D64" s="247" t="s">
        <v>218</v>
      </c>
      <c r="E64" s="8">
        <f t="shared" si="0"/>
        <v>65.555330771879838</v>
      </c>
      <c r="F64" s="8">
        <f t="shared" si="1"/>
        <v>65.555330771879838</v>
      </c>
    </row>
    <row r="65" spans="3:6" ht="18">
      <c r="C65" s="251" t="s">
        <v>293</v>
      </c>
      <c r="D65" s="254" t="s">
        <v>296</v>
      </c>
      <c r="E65" s="8">
        <f t="shared" si="0"/>
        <v>-809.82749790707123</v>
      </c>
      <c r="F65" s="8">
        <f t="shared" si="1"/>
        <v>-477.58930403478843</v>
      </c>
    </row>
    <row r="67" spans="3:6">
      <c r="C67" s="256" t="s">
        <v>297</v>
      </c>
    </row>
    <row r="68" spans="3:6">
      <c r="C68" s="256" t="s">
        <v>298</v>
      </c>
    </row>
  </sheetData>
  <hyperlinks>
    <hyperlink ref="L54" r:id="rId1" xr:uid="{A3F66FD4-A225-4A42-8448-1375DAF505EC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4336-FE75-4494-AE9D-43E09140BB9B}">
  <dimension ref="B1:O44"/>
  <sheetViews>
    <sheetView zoomScaleNormal="100" workbookViewId="0">
      <selection activeCell="J33" sqref="J33"/>
    </sheetView>
  </sheetViews>
  <sheetFormatPr baseColWidth="10" defaultColWidth="9.140625" defaultRowHeight="15"/>
  <cols>
    <col min="1" max="1" width="5.85546875" customWidth="1"/>
    <col min="2" max="2" width="48" bestFit="1" customWidth="1"/>
    <col min="3" max="3" width="15.85546875" customWidth="1"/>
    <col min="4" max="4" width="14.28515625" bestFit="1" customWidth="1"/>
    <col min="5" max="13" width="12.5703125" bestFit="1" customWidth="1"/>
  </cols>
  <sheetData>
    <row r="1" spans="2:15" ht="15.75" thickBot="1"/>
    <row r="2" spans="2:15">
      <c r="B2" s="3" t="s">
        <v>183</v>
      </c>
      <c r="C2" s="3" t="s">
        <v>124</v>
      </c>
      <c r="D2" s="34">
        <v>1</v>
      </c>
      <c r="E2" s="56">
        <f>E12/$D$12</f>
        <v>0.04</v>
      </c>
      <c r="F2" s="42">
        <f t="shared" ref="F2:M2" si="0">F12/$D$12</f>
        <v>0.1</v>
      </c>
      <c r="G2" s="43">
        <f t="shared" si="0"/>
        <v>0.2</v>
      </c>
      <c r="H2" s="84">
        <f t="shared" si="0"/>
        <v>0.1</v>
      </c>
      <c r="I2" s="98">
        <f t="shared" si="0"/>
        <v>0.25</v>
      </c>
      <c r="J2" s="85">
        <f t="shared" si="0"/>
        <v>0.5</v>
      </c>
      <c r="K2" s="63">
        <f t="shared" si="0"/>
        <v>0.18</v>
      </c>
      <c r="L2" s="64">
        <f t="shared" si="0"/>
        <v>0.45</v>
      </c>
      <c r="M2" s="77">
        <f t="shared" si="0"/>
        <v>0.9</v>
      </c>
    </row>
    <row r="3" spans="2:15" ht="18">
      <c r="B3" s="3" t="s">
        <v>185</v>
      </c>
      <c r="C3" s="3" t="s">
        <v>184</v>
      </c>
      <c r="D3" s="35">
        <v>10</v>
      </c>
      <c r="E3" s="57">
        <v>2</v>
      </c>
      <c r="F3" s="44">
        <v>5</v>
      </c>
      <c r="G3" s="45">
        <v>10</v>
      </c>
      <c r="H3" s="86">
        <v>2</v>
      </c>
      <c r="I3" s="99">
        <v>5</v>
      </c>
      <c r="J3" s="87">
        <v>10</v>
      </c>
      <c r="K3" s="65">
        <v>2</v>
      </c>
      <c r="L3" s="66">
        <v>5</v>
      </c>
      <c r="M3" s="78">
        <v>10</v>
      </c>
      <c r="O3" t="s">
        <v>187</v>
      </c>
    </row>
    <row r="4" spans="2:15">
      <c r="B4" s="3" t="s">
        <v>182</v>
      </c>
      <c r="C4" s="3" t="s">
        <v>124</v>
      </c>
      <c r="D4" s="36">
        <v>1</v>
      </c>
      <c r="E4" s="58">
        <v>0.2</v>
      </c>
      <c r="F4" s="46">
        <v>0.2</v>
      </c>
      <c r="G4" s="47">
        <v>0.2</v>
      </c>
      <c r="H4" s="88">
        <v>0.5</v>
      </c>
      <c r="I4" s="100">
        <v>0.5</v>
      </c>
      <c r="J4" s="89">
        <v>0.5</v>
      </c>
      <c r="K4" s="67">
        <v>0.9</v>
      </c>
      <c r="L4" s="68">
        <v>0.9</v>
      </c>
      <c r="M4" s="79">
        <v>0.9</v>
      </c>
    </row>
    <row r="5" spans="2:15">
      <c r="B5" s="3" t="s">
        <v>156</v>
      </c>
      <c r="C5" s="3" t="s">
        <v>155</v>
      </c>
      <c r="D5" s="37" t="s">
        <v>154</v>
      </c>
      <c r="E5" s="59" t="s">
        <v>154</v>
      </c>
      <c r="F5" s="48" t="s">
        <v>154</v>
      </c>
      <c r="G5" s="49" t="s">
        <v>154</v>
      </c>
      <c r="H5" s="90" t="s">
        <v>154</v>
      </c>
      <c r="I5" s="101" t="s">
        <v>154</v>
      </c>
      <c r="J5" s="91" t="s">
        <v>154</v>
      </c>
      <c r="K5" s="69" t="s">
        <v>154</v>
      </c>
      <c r="L5" s="70" t="s">
        <v>154</v>
      </c>
      <c r="M5" s="80" t="s">
        <v>154</v>
      </c>
    </row>
    <row r="6" spans="2:15">
      <c r="B6" s="3" t="s">
        <v>153</v>
      </c>
      <c r="C6" s="3" t="s">
        <v>49</v>
      </c>
      <c r="D6" s="38">
        <v>24746000</v>
      </c>
      <c r="E6" s="60">
        <v>24746000</v>
      </c>
      <c r="F6" s="50">
        <v>24746000</v>
      </c>
      <c r="G6" s="51">
        <v>24746000</v>
      </c>
      <c r="H6" s="92">
        <v>24746000</v>
      </c>
      <c r="I6" s="102">
        <v>24746000</v>
      </c>
      <c r="J6" s="93">
        <v>24746000</v>
      </c>
      <c r="K6" s="71">
        <v>24746000</v>
      </c>
      <c r="L6" s="72">
        <v>24746000</v>
      </c>
      <c r="M6" s="81">
        <v>24746000</v>
      </c>
    </row>
    <row r="7" spans="2:15">
      <c r="B7" s="3" t="s">
        <v>152</v>
      </c>
      <c r="C7" s="3" t="s">
        <v>49</v>
      </c>
      <c r="D7" s="38">
        <v>17000000</v>
      </c>
      <c r="E7" s="60">
        <v>17000000</v>
      </c>
      <c r="F7" s="50">
        <v>17000000</v>
      </c>
      <c r="G7" s="51">
        <v>17000000</v>
      </c>
      <c r="H7" s="92">
        <v>17000000</v>
      </c>
      <c r="I7" s="102">
        <v>17000000</v>
      </c>
      <c r="J7" s="93">
        <v>17000000</v>
      </c>
      <c r="K7" s="71">
        <v>17000000</v>
      </c>
      <c r="L7" s="72">
        <v>17000000</v>
      </c>
      <c r="M7" s="81">
        <v>17000000</v>
      </c>
    </row>
    <row r="8" spans="2:15">
      <c r="B8" s="3" t="s">
        <v>151</v>
      </c>
      <c r="C8" s="3" t="s">
        <v>124</v>
      </c>
      <c r="D8" s="39">
        <f>D7/D6</f>
        <v>0.68697971389315449</v>
      </c>
      <c r="E8" s="61">
        <f>E7/E6</f>
        <v>0.68697971389315449</v>
      </c>
      <c r="F8" s="52">
        <f t="shared" ref="F8:M8" si="1">F7/F6</f>
        <v>0.68697971389315449</v>
      </c>
      <c r="G8" s="53">
        <f t="shared" si="1"/>
        <v>0.68697971389315449</v>
      </c>
      <c r="H8" s="94">
        <f t="shared" si="1"/>
        <v>0.68697971389315449</v>
      </c>
      <c r="I8" s="103">
        <f t="shared" si="1"/>
        <v>0.68697971389315449</v>
      </c>
      <c r="J8" s="95">
        <f t="shared" si="1"/>
        <v>0.68697971389315449</v>
      </c>
      <c r="K8" s="73">
        <f t="shared" si="1"/>
        <v>0.68697971389315449</v>
      </c>
      <c r="L8" s="74">
        <f t="shared" si="1"/>
        <v>0.68697971389315449</v>
      </c>
      <c r="M8" s="82">
        <f t="shared" si="1"/>
        <v>0.68697971389315449</v>
      </c>
    </row>
    <row r="9" spans="2:15">
      <c r="B9" s="3" t="s">
        <v>150</v>
      </c>
      <c r="C9" s="3" t="s">
        <v>49</v>
      </c>
      <c r="D9" s="38">
        <v>10000000</v>
      </c>
      <c r="E9" s="60">
        <f t="shared" ref="E9:M9" si="2">$D$9*E4</f>
        <v>2000000</v>
      </c>
      <c r="F9" s="50">
        <f t="shared" si="2"/>
        <v>2000000</v>
      </c>
      <c r="G9" s="51">
        <f t="shared" si="2"/>
        <v>2000000</v>
      </c>
      <c r="H9" s="92">
        <f t="shared" si="2"/>
        <v>5000000</v>
      </c>
      <c r="I9" s="102">
        <f t="shared" si="2"/>
        <v>5000000</v>
      </c>
      <c r="J9" s="93">
        <f t="shared" si="2"/>
        <v>5000000</v>
      </c>
      <c r="K9" s="71">
        <f t="shared" si="2"/>
        <v>9000000</v>
      </c>
      <c r="L9" s="72">
        <f t="shared" si="2"/>
        <v>9000000</v>
      </c>
      <c r="M9" s="81">
        <f t="shared" si="2"/>
        <v>9000000</v>
      </c>
      <c r="O9" t="s">
        <v>188</v>
      </c>
    </row>
    <row r="10" spans="2:15">
      <c r="B10" s="3" t="s">
        <v>149</v>
      </c>
      <c r="C10" s="3" t="s">
        <v>49</v>
      </c>
      <c r="D10" s="38">
        <v>4684731</v>
      </c>
      <c r="E10" s="60">
        <v>4684731</v>
      </c>
      <c r="F10" s="50">
        <v>4684731</v>
      </c>
      <c r="G10" s="51">
        <v>4684731</v>
      </c>
      <c r="H10" s="92">
        <v>4684731</v>
      </c>
      <c r="I10" s="102">
        <v>4684731</v>
      </c>
      <c r="J10" s="93">
        <v>4684731</v>
      </c>
      <c r="K10" s="71">
        <v>4684731</v>
      </c>
      <c r="L10" s="72">
        <v>4684731</v>
      </c>
      <c r="M10" s="81">
        <v>4684731</v>
      </c>
    </row>
    <row r="11" spans="2:15" ht="18">
      <c r="B11" s="3" t="s">
        <v>148</v>
      </c>
      <c r="C11" s="3" t="s">
        <v>180</v>
      </c>
      <c r="D11" s="38">
        <f>D3</f>
        <v>10</v>
      </c>
      <c r="E11" s="60">
        <f>E3</f>
        <v>2</v>
      </c>
      <c r="F11" s="50">
        <f t="shared" ref="F11:M11" si="3">F3</f>
        <v>5</v>
      </c>
      <c r="G11" s="51">
        <f t="shared" si="3"/>
        <v>10</v>
      </c>
      <c r="H11" s="92">
        <f t="shared" si="3"/>
        <v>2</v>
      </c>
      <c r="I11" s="102">
        <f t="shared" si="3"/>
        <v>5</v>
      </c>
      <c r="J11" s="93">
        <f t="shared" si="3"/>
        <v>10</v>
      </c>
      <c r="K11" s="71">
        <f t="shared" si="3"/>
        <v>2</v>
      </c>
      <c r="L11" s="72">
        <f t="shared" si="3"/>
        <v>5</v>
      </c>
      <c r="M11" s="81">
        <f t="shared" si="3"/>
        <v>10</v>
      </c>
    </row>
    <row r="12" spans="2:15" ht="18">
      <c r="B12" s="3" t="s">
        <v>147</v>
      </c>
      <c r="C12" s="3" t="s">
        <v>178</v>
      </c>
      <c r="D12" s="40">
        <f>D9*D11</f>
        <v>100000000</v>
      </c>
      <c r="E12" s="60">
        <f>E9*E11</f>
        <v>4000000</v>
      </c>
      <c r="F12" s="50">
        <f t="shared" ref="F12:M12" si="4">F9*F11</f>
        <v>10000000</v>
      </c>
      <c r="G12" s="51">
        <f t="shared" si="4"/>
        <v>20000000</v>
      </c>
      <c r="H12" s="92">
        <f t="shared" si="4"/>
        <v>10000000</v>
      </c>
      <c r="I12" s="102">
        <f t="shared" si="4"/>
        <v>25000000</v>
      </c>
      <c r="J12" s="93">
        <f t="shared" si="4"/>
        <v>50000000</v>
      </c>
      <c r="K12" s="71">
        <f t="shared" si="4"/>
        <v>18000000</v>
      </c>
      <c r="L12" s="72">
        <f t="shared" si="4"/>
        <v>45000000</v>
      </c>
      <c r="M12" s="81">
        <f t="shared" si="4"/>
        <v>90000000</v>
      </c>
    </row>
    <row r="13" spans="2:15" ht="18.75" thickBot="1">
      <c r="B13" s="3" t="s">
        <v>146</v>
      </c>
      <c r="C13" s="31" t="s">
        <v>179</v>
      </c>
      <c r="D13" s="41">
        <f>D43</f>
        <v>-363.21</v>
      </c>
      <c r="E13" s="62">
        <f>D13</f>
        <v>-363.21</v>
      </c>
      <c r="F13" s="54">
        <f t="shared" ref="F13:M13" si="5">E13</f>
        <v>-363.21</v>
      </c>
      <c r="G13" s="55">
        <f t="shared" si="5"/>
        <v>-363.21</v>
      </c>
      <c r="H13" s="96">
        <f t="shared" si="5"/>
        <v>-363.21</v>
      </c>
      <c r="I13" s="104">
        <f t="shared" si="5"/>
        <v>-363.21</v>
      </c>
      <c r="J13" s="97">
        <f t="shared" si="5"/>
        <v>-363.21</v>
      </c>
      <c r="K13" s="75">
        <f t="shared" si="5"/>
        <v>-363.21</v>
      </c>
      <c r="L13" s="76">
        <f t="shared" si="5"/>
        <v>-363.21</v>
      </c>
      <c r="M13" s="83">
        <f t="shared" si="5"/>
        <v>-363.21</v>
      </c>
    </row>
    <row r="15" spans="2:15">
      <c r="E15" t="s">
        <v>190</v>
      </c>
    </row>
    <row r="16" spans="2:15">
      <c r="B16" s="3" t="s">
        <v>183</v>
      </c>
      <c r="C16" s="3" t="s">
        <v>124</v>
      </c>
      <c r="D16" s="134">
        <v>1</v>
      </c>
    </row>
    <row r="17" spans="2:9" ht="18">
      <c r="B17" s="3" t="s">
        <v>185</v>
      </c>
      <c r="C17" s="3" t="s">
        <v>184</v>
      </c>
      <c r="D17" s="32">
        <v>10</v>
      </c>
      <c r="E17" t="s">
        <v>191</v>
      </c>
    </row>
    <row r="18" spans="2:9">
      <c r="B18" s="3" t="s">
        <v>182</v>
      </c>
      <c r="C18" s="3" t="s">
        <v>124</v>
      </c>
      <c r="D18" s="135">
        <v>1</v>
      </c>
      <c r="E18" s="7"/>
    </row>
    <row r="19" spans="2:9">
      <c r="B19" s="3" t="s">
        <v>156</v>
      </c>
      <c r="C19" s="3" t="s">
        <v>155</v>
      </c>
      <c r="D19" s="136" t="s">
        <v>154</v>
      </c>
      <c r="E19" s="7"/>
    </row>
    <row r="20" spans="2:9">
      <c r="B20" s="3" t="s">
        <v>153</v>
      </c>
      <c r="C20" s="3" t="s">
        <v>49</v>
      </c>
      <c r="D20" s="137">
        <v>24746000</v>
      </c>
      <c r="E20" s="7" t="s">
        <v>192</v>
      </c>
    </row>
    <row r="21" spans="2:9">
      <c r="B21" s="3" t="s">
        <v>152</v>
      </c>
      <c r="C21" s="3" t="s">
        <v>49</v>
      </c>
      <c r="D21" s="137">
        <v>17000000</v>
      </c>
      <c r="E21" s="26" t="s">
        <v>193</v>
      </c>
    </row>
    <row r="22" spans="2:9">
      <c r="B22" s="3" t="s">
        <v>151</v>
      </c>
      <c r="C22" s="3" t="s">
        <v>124</v>
      </c>
      <c r="D22" s="138">
        <f>D21/D20</f>
        <v>0.68697971389315449</v>
      </c>
      <c r="E22" s="26"/>
    </row>
    <row r="23" spans="2:9">
      <c r="B23" s="3" t="s">
        <v>150</v>
      </c>
      <c r="C23" s="3" t="s">
        <v>49</v>
      </c>
      <c r="D23" s="137">
        <v>10000000</v>
      </c>
      <c r="E23" s="26" t="s">
        <v>194</v>
      </c>
    </row>
    <row r="24" spans="2:9">
      <c r="B24" s="3" t="s">
        <v>149</v>
      </c>
      <c r="C24" s="3" t="s">
        <v>49</v>
      </c>
      <c r="D24" s="137">
        <v>4684731</v>
      </c>
      <c r="E24" s="26" t="s">
        <v>194</v>
      </c>
    </row>
    <row r="25" spans="2:9" ht="18">
      <c r="B25" s="3" t="s">
        <v>148</v>
      </c>
      <c r="C25" s="3" t="s">
        <v>180</v>
      </c>
      <c r="D25" s="137">
        <f>D17</f>
        <v>10</v>
      </c>
      <c r="E25" s="26" t="s">
        <v>191</v>
      </c>
    </row>
    <row r="26" spans="2:9" ht="18">
      <c r="B26" s="3" t="s">
        <v>147</v>
      </c>
      <c r="C26" s="3" t="s">
        <v>178</v>
      </c>
      <c r="D26" s="139">
        <f>D23*D25</f>
        <v>100000000</v>
      </c>
    </row>
    <row r="27" spans="2:9" ht="18">
      <c r="B27" s="3" t="s">
        <v>146</v>
      </c>
      <c r="C27" s="31" t="s">
        <v>179</v>
      </c>
      <c r="D27" s="140">
        <f>D43</f>
        <v>-363.21</v>
      </c>
    </row>
    <row r="29" spans="2:9">
      <c r="B29" s="3"/>
      <c r="C29" s="3"/>
      <c r="D29" s="292" t="s">
        <v>199</v>
      </c>
      <c r="E29" s="292"/>
      <c r="F29" s="292"/>
      <c r="G29" s="293" t="s">
        <v>200</v>
      </c>
      <c r="H29" s="293"/>
      <c r="I29" s="293"/>
    </row>
    <row r="30" spans="2:9">
      <c r="B30" s="3" t="s">
        <v>203</v>
      </c>
      <c r="C30" s="3"/>
      <c r="D30" s="141" t="s">
        <v>195</v>
      </c>
      <c r="E30" s="141" t="s">
        <v>196</v>
      </c>
      <c r="F30" s="141" t="s">
        <v>197</v>
      </c>
      <c r="G30" s="142" t="s">
        <v>195</v>
      </c>
      <c r="H30" s="142" t="s">
        <v>196</v>
      </c>
      <c r="I30" s="142" t="s">
        <v>197</v>
      </c>
    </row>
    <row r="31" spans="2:9">
      <c r="B31" s="3" t="s">
        <v>189</v>
      </c>
      <c r="C31" s="3" t="s">
        <v>198</v>
      </c>
      <c r="D31" s="143">
        <v>16.3</v>
      </c>
      <c r="E31" s="143">
        <v>15</v>
      </c>
      <c r="F31" s="143">
        <v>35</v>
      </c>
      <c r="G31" s="144">
        <v>16.3</v>
      </c>
      <c r="H31" s="144">
        <v>25</v>
      </c>
      <c r="I31" s="144">
        <v>50</v>
      </c>
    </row>
    <row r="32" spans="2:9">
      <c r="B32" s="3" t="s">
        <v>201</v>
      </c>
      <c r="C32" s="3" t="s">
        <v>49</v>
      </c>
      <c r="D32" s="145">
        <v>7556000</v>
      </c>
      <c r="E32" s="145">
        <v>4580000</v>
      </c>
      <c r="F32" s="145">
        <v>12136000</v>
      </c>
      <c r="G32" s="146">
        <v>7556000</v>
      </c>
      <c r="H32" s="146">
        <v>4580000</v>
      </c>
      <c r="I32" s="146">
        <v>12136000</v>
      </c>
    </row>
    <row r="33" spans="2:9">
      <c r="B33" s="3" t="s">
        <v>202</v>
      </c>
      <c r="C33" s="3" t="s">
        <v>27</v>
      </c>
      <c r="D33" s="145">
        <f t="shared" ref="D33:I33" si="6">D32/D31</f>
        <v>463558.28220858896</v>
      </c>
      <c r="E33" s="145">
        <f t="shared" si="6"/>
        <v>305333.33333333331</v>
      </c>
      <c r="F33" s="145">
        <f t="shared" si="6"/>
        <v>346742.85714285716</v>
      </c>
      <c r="G33" s="146">
        <f t="shared" si="6"/>
        <v>463558.28220858896</v>
      </c>
      <c r="H33" s="146">
        <f t="shared" si="6"/>
        <v>183200</v>
      </c>
      <c r="I33" s="146">
        <f t="shared" si="6"/>
        <v>242720</v>
      </c>
    </row>
    <row r="36" spans="2:9">
      <c r="B36" s="3" t="s">
        <v>220</v>
      </c>
      <c r="C36" s="3" t="s">
        <v>221</v>
      </c>
      <c r="D36" s="131">
        <v>21.760400000000001</v>
      </c>
      <c r="E36" t="s">
        <v>227</v>
      </c>
      <c r="F36" t="s">
        <v>228</v>
      </c>
    </row>
    <row r="37" spans="2:9">
      <c r="B37" s="3" t="s">
        <v>216</v>
      </c>
      <c r="C37" s="132" t="s">
        <v>217</v>
      </c>
      <c r="D37" s="131">
        <v>4745879.0268580224</v>
      </c>
      <c r="E37" s="107" t="s">
        <v>231</v>
      </c>
      <c r="F37" s="107"/>
      <c r="G37" s="107"/>
      <c r="H37" s="107"/>
      <c r="I37" s="107"/>
    </row>
    <row r="38" spans="2:9">
      <c r="B38" s="3" t="s">
        <v>223</v>
      </c>
      <c r="C38" s="3" t="s">
        <v>107</v>
      </c>
      <c r="D38" s="133">
        <f>10+8/12</f>
        <v>10.666666666666666</v>
      </c>
      <c r="E38" s="107" t="s">
        <v>230</v>
      </c>
    </row>
    <row r="39" spans="2:9" ht="18">
      <c r="B39" s="3" t="s">
        <v>224</v>
      </c>
      <c r="C39" s="3" t="s">
        <v>226</v>
      </c>
      <c r="D39" s="303" t="e">
        <f>-'Datos sobre SSPi'!#REF!</f>
        <v>#REF!</v>
      </c>
    </row>
    <row r="40" spans="2:9">
      <c r="B40" s="3" t="s">
        <v>225</v>
      </c>
      <c r="C40" s="3" t="s">
        <v>49</v>
      </c>
      <c r="D40" s="133">
        <f>'Datos sobre SSPi'!E117</f>
        <v>48</v>
      </c>
    </row>
    <row r="41" spans="2:9" ht="18">
      <c r="B41" s="3" t="s">
        <v>219</v>
      </c>
      <c r="C41" s="3" t="s">
        <v>222</v>
      </c>
      <c r="D41" s="133" t="e">
        <f>D39*D40</f>
        <v>#REF!</v>
      </c>
    </row>
    <row r="42" spans="2:9" ht="18">
      <c r="B42" s="3" t="s">
        <v>232</v>
      </c>
      <c r="C42" s="3" t="s">
        <v>218</v>
      </c>
      <c r="D42" s="133">
        <v>600.48</v>
      </c>
      <c r="E42" s="107" t="s">
        <v>231</v>
      </c>
      <c r="F42" s="9"/>
    </row>
    <row r="43" spans="2:9" ht="18">
      <c r="B43" s="3" t="s">
        <v>146</v>
      </c>
      <c r="C43" s="31" t="s">
        <v>179</v>
      </c>
      <c r="D43" s="133">
        <v>-363.21</v>
      </c>
      <c r="E43" s="107" t="s">
        <v>231</v>
      </c>
      <c r="F43" s="8"/>
    </row>
    <row r="44" spans="2:9">
      <c r="B44" s="31" t="s">
        <v>229</v>
      </c>
      <c r="C44" s="3"/>
      <c r="D44" s="15">
        <v>0.12</v>
      </c>
    </row>
  </sheetData>
  <mergeCells count="2">
    <mergeCell ref="D29:F29"/>
    <mergeCell ref="G29:I29"/>
  </mergeCells>
  <hyperlinks>
    <hyperlink ref="C37" r:id="rId1" xr:uid="{8C9C4F9A-C975-4B9A-A8B2-CCFDECFFD98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11D43-7EA8-4F8C-9330-B1B92A3EAE5E}">
  <dimension ref="C6:H17"/>
  <sheetViews>
    <sheetView zoomScale="120" zoomScaleNormal="120" workbookViewId="0">
      <selection activeCell="M28" sqref="M28"/>
    </sheetView>
  </sheetViews>
  <sheetFormatPr baseColWidth="10" defaultColWidth="9.140625" defaultRowHeight="15"/>
  <cols>
    <col min="3" max="3" width="16.5703125" customWidth="1"/>
    <col min="4" max="6" width="12.5703125" customWidth="1"/>
  </cols>
  <sheetData>
    <row r="6" spans="3:8">
      <c r="C6" s="123" t="s">
        <v>213</v>
      </c>
    </row>
    <row r="9" spans="3:8" ht="18">
      <c r="C9" s="295" t="s">
        <v>182</v>
      </c>
      <c r="D9" s="294" t="s">
        <v>181</v>
      </c>
      <c r="E9" s="294"/>
      <c r="F9" s="294"/>
    </row>
    <row r="10" spans="3:8">
      <c r="C10" s="295"/>
      <c r="D10" s="32">
        <v>-2</v>
      </c>
      <c r="E10" s="32">
        <v>-5</v>
      </c>
      <c r="F10" s="32">
        <v>-10</v>
      </c>
      <c r="H10" s="106" t="s">
        <v>204</v>
      </c>
    </row>
    <row r="11" spans="3:8">
      <c r="C11" s="15">
        <v>0.2</v>
      </c>
      <c r="D11" s="33">
        <f t="shared" ref="D11:F13" si="0">$C11*D$10</f>
        <v>-0.4</v>
      </c>
      <c r="E11" s="32">
        <f t="shared" si="0"/>
        <v>-1</v>
      </c>
      <c r="F11" s="32">
        <f t="shared" si="0"/>
        <v>-2</v>
      </c>
    </row>
    <row r="12" spans="3:8">
      <c r="C12" s="15">
        <v>0.5</v>
      </c>
      <c r="D12" s="32">
        <f t="shared" si="0"/>
        <v>-1</v>
      </c>
      <c r="E12" s="33">
        <f t="shared" si="0"/>
        <v>-2.5</v>
      </c>
      <c r="F12" s="32">
        <f t="shared" si="0"/>
        <v>-5</v>
      </c>
    </row>
    <row r="13" spans="3:8">
      <c r="C13" s="15">
        <v>0.9</v>
      </c>
      <c r="D13" s="32">
        <f t="shared" si="0"/>
        <v>-1.8</v>
      </c>
      <c r="E13" s="32">
        <f t="shared" si="0"/>
        <v>-4.5</v>
      </c>
      <c r="F13" s="33">
        <f t="shared" si="0"/>
        <v>-9</v>
      </c>
    </row>
    <row r="16" spans="3:8" ht="18">
      <c r="D16" s="294" t="s">
        <v>186</v>
      </c>
      <c r="E16" s="294"/>
      <c r="F16" s="294"/>
    </row>
    <row r="17" spans="4:6">
      <c r="D17" s="105">
        <f>D10/1000</f>
        <v>-2E-3</v>
      </c>
      <c r="E17" s="105">
        <f>E10/1000</f>
        <v>-5.0000000000000001E-3</v>
      </c>
      <c r="F17" s="105">
        <f>F10/1000</f>
        <v>-0.01</v>
      </c>
    </row>
  </sheetData>
  <mergeCells count="3">
    <mergeCell ref="D9:F9"/>
    <mergeCell ref="C9:C10"/>
    <mergeCell ref="D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Datos sobre SSPi</vt:lpstr>
      <vt:lpstr>CIPAV Areas y Emisiones</vt:lpstr>
      <vt:lpstr>Análisis a VPN SSPi sequía</vt:lpstr>
      <vt:lpstr>Análisis a VPN SSPi normal</vt:lpstr>
      <vt:lpstr>Análisis a VPN Conv-Línea base</vt:lpstr>
      <vt:lpstr>Grafica flujo de efectivo</vt:lpstr>
      <vt:lpstr>Costo marginal de abatimiento</vt:lpstr>
      <vt:lpstr>Cuadro 30 Poten de Mitiga SSPi</vt:lpstr>
      <vt:lpstr>Cuadro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MP</dc:creator>
  <cp:lastModifiedBy>MS</cp:lastModifiedBy>
  <dcterms:created xsi:type="dcterms:W3CDTF">2020-09-17T04:10:40Z</dcterms:created>
  <dcterms:modified xsi:type="dcterms:W3CDTF">2021-02-18T06:32:38Z</dcterms:modified>
</cp:coreProperties>
</file>